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395" windowHeight="8325" activeTab="0"/>
  </bookViews>
  <sheets>
    <sheet name="ΣΤΕΓΑΣΗ" sheetId="1" r:id="rId1"/>
    <sheet name="Φύλλο1" sheetId="2" r:id="rId2"/>
  </sheets>
  <definedNames>
    <definedName name="_xlnm.Print_Area" localSheetId="0">'ΣΤΕΓΑΣΗ'!$B$1:$AH$73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<sst xmlns="http://schemas.openxmlformats.org/spreadsheetml/2006/main" count="165" uniqueCount="76">
  <si>
    <t>Α/Α</t>
  </si>
  <si>
    <t>ΤΜΗΜΑ</t>
  </si>
  <si>
    <t>ΠΙΣΤΟΠΟΙΗΤΙΚΟ ΟΙΚΟΓΕΝΕΙΑΚΗΣ ΚΑΤΑΣΤΑΣΗΣ</t>
  </si>
  <si>
    <t>ΤΡΙΤΕΚΝΟΙ</t>
  </si>
  <si>
    <t>ΒΕΒΑΙΩΣΗ ΣΠΟΥΔΩΝ</t>
  </si>
  <si>
    <t>ΕΞΑΜΗΝΟ</t>
  </si>
  <si>
    <t>ΕΚΚΑΘΑΡΙΣΤΙΚΟ ΣΗΜΕΙΩΜΑ ΤΟΥ ΤΡΕΧΟΝΤΟΣ ΕΤΟΥΣ (2012) ή Ε1 ΣΕ ΠΕΡΙΠΤΩΣΗ ΠΟΥ ΔΕΝ ΥΠΑΡΧΕΙ ΤΟ ΕΚΚΑΘ. ΓΙΑ ΤΟ ΟΙΚ.ΕΙΣΟΔΗΜΑ ΤΩΝ ΓΟΝΙΩΝ &amp; ΤΟ ΑΝΤΙΣΤΟΙΧΟ ΕΚΚ.ΣΗΜ. ΕΦΟΣΟΝ ΥΠΟΒΑΛΛΟΥΝ ΟΙ ΙΔΙΟΙ ΦΟΡ.ΔΗΛΩΣΗ</t>
  </si>
  <si>
    <t>ΑΔΕΛΦΟΣ/Η ΦΟΙΤΗΤΗΣ/ΤΡΙΑ (0 υπότροφο) ή ΣΤΡΑΤΙΩΤΗΣ, =&gt; ΒΕΒΑΙΩΣΗ ΤΜΗΜΑΤΟΣ Ή ΒΕΒ. ΌΤΙ ΥΠΗΡΕΤΕΙ ΤΗΝ ΣΤΡΑΤ.ΘΗΤΕΙΑ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</si>
  <si>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</si>
  <si>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</si>
  <si>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</si>
  <si>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</si>
  <si>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</si>
  <si>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</si>
  <si>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</si>
  <si>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t>ΤΕΚΜΑΡΤΟ ΕΙΣΟΔΗΜΑ</t>
  </si>
  <si>
    <t xml:space="preserve">ΣΥΝΟΛΙΚΟ ΕΙΣΟΔΗΜΑ </t>
  </si>
  <si>
    <t>Α.Μ.</t>
  </si>
  <si>
    <t>Εισόδημα αγροτών  (ΜΕΙΩΣΗ 15%)</t>
  </si>
  <si>
    <t>Εισόδημα από Μισθωτές Υπηρεσίες Γονέων (Δημόσιο και ιδιωτικό τομέα και συνταξιούχων &amp; ταμείο ανεργίας) (ΜEIΩΣΗ 50%)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</si>
  <si>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</si>
  <si>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</si>
  <si>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ΠΟΛΥΤΕΚΝΟΙ (ΠΙΣΤΟΠΟΙΗΤΙΚΟ ΠΟΛΥΤΕΚΝΙΑΣ ΑΠΟ ΤΗΝ ΑΝΩΤΑΤΗ ΣΥΝΟΜΟΣΠΟΝΔΙΑ ΠΟΛΥΤΕΚΝΩΝ)</t>
  </si>
  <si>
    <t>ΒΕΒΑΙΩΣΗ ΑΝΕΡΓΙΑΣ ΑΠΟ ΤΟΝ ΟΑΕΔ</t>
  </si>
  <si>
    <t>ΗΜΕΡΟΜΗΝΙΑ ΑΙΤΗΣΗΣ</t>
  </si>
  <si>
    <t>ΜΟΝΙΜΗ ΚΑΤΟΙΚΙΑ</t>
  </si>
  <si>
    <t>ΠΑΡΑΤΗΡΗΣΕΙΣ</t>
  </si>
  <si>
    <t>ΑΠΟΡΡΙΦΘΕΝΤΕΣ ΛΟΓΩ ΥΠΕΡΒΑΣΗΣ ΕΙΣΟΔΗΜΑΤΟΣ&gt;30.000 Ετήσιο οικογενειακό + 3.000 για κάθε προστατευόμενο τέκνο πέραν του ενός</t>
  </si>
  <si>
    <t>ΛΠΜ</t>
  </si>
  <si>
    <t>ΠΕΙΡΑΙΑΣ</t>
  </si>
  <si>
    <t>ΚΑΡΔΙΤΣΑ</t>
  </si>
  <si>
    <t>ΠΡΕΒΕΖΑ</t>
  </si>
  <si>
    <t>Ν. ΗΡΑΚΛΕΙΟΥ</t>
  </si>
  <si>
    <t>ΤΓ</t>
  </si>
  <si>
    <t>ΙΩΑΝΝΙΝΑ</t>
  </si>
  <si>
    <t>ΝΕΑ ΚΕΡΑΣΟΥΝΤΑ, ΦΙΛΙΠΠΙΑΔΑ</t>
  </si>
  <si>
    <t>14 χλμ από Άρτα</t>
  </si>
  <si>
    <t>ΚΟΝΙΤΣΑ</t>
  </si>
  <si>
    <t>ΒΟΛΟΣ</t>
  </si>
  <si>
    <t>ΤΣΕΠΕΛΟΒΟ ΙΩΑΝΝΙΝΩΝ</t>
  </si>
  <si>
    <t>Ν. ΑΧΑΪΑΣ</t>
  </si>
  <si>
    <t>ΑΓΡΙΝΙΟ</t>
  </si>
  <si>
    <t>ΞΑΝΘΗ</t>
  </si>
  <si>
    <t>ΜΠ</t>
  </si>
  <si>
    <t>ΚΟΖΑΝΗ</t>
  </si>
  <si>
    <t>ΑΛΕΞΑΝΔΡΕΙΑ ΗΜΑΘΕΙΑΣ</t>
  </si>
  <si>
    <t>Ν. ΚΙΛΚΙΣ</t>
  </si>
  <si>
    <t>ΘΕΣΠΡΩΤΙΚΟ ΠΡΕΒΕΖΑΣ</t>
  </si>
  <si>
    <t>26,28 χιλ από Άρτα</t>
  </si>
  <si>
    <t>ΑΘΗΝΑ</t>
  </si>
  <si>
    <t xml:space="preserve">ΜΕΣΟΠΥΡΓΟΣ </t>
  </si>
  <si>
    <t>ΑΡΓΥΡΟΥΠΟΛΗ ΑΤΤΙΚΗΣ</t>
  </si>
  <si>
    <t>Ν. ΑΙΤ/ΝΙΑΣ</t>
  </si>
  <si>
    <t>ΒΕΡΟΙΑ</t>
  </si>
  <si>
    <t>ΖΙΤΣΑ</t>
  </si>
  <si>
    <t>ΑΜΜΟΤΟΠΟΣ ΑΡΤΑΣ</t>
  </si>
  <si>
    <t xml:space="preserve">ΒΟΝΙΤΣΑ </t>
  </si>
  <si>
    <t>ΚΥΘΗΡΑ</t>
  </si>
  <si>
    <t>Ν. ΛΑΚΩΝΙΑΣ</t>
  </si>
  <si>
    <t>ΡΟΔΟΣ</t>
  </si>
  <si>
    <t>ΑΤΤΙΚΗ</t>
  </si>
  <si>
    <t>ΝΑΟΥΣΑ</t>
  </si>
  <si>
    <t>ΜΕΣΟΛΟΓΓΙ</t>
  </si>
  <si>
    <t>ΔΡΑΜΑ</t>
  </si>
  <si>
    <t>ΑΠΟΡΡΙΦΘΕΝΤΕΣ ΛΟΓΩ ΤΟΠΟΥ ΜΟΝΙΜΗΣ ΔΙΑΜΟΝΗΣ&lt;50 χλμ. από την πόλη όπου λειτουργεί η Φ. Εστία (Άρτα)</t>
  </si>
  <si>
    <t xml:space="preserve">ΚΑΤΑΣΤΑΣΗ ΑΞΙΟΛΟΓΗΣΗΣ ΑΙΤΗΣΕΩΝ ΣΤΕΓΑΣΗΣ Πρωτοετών Φοιτητών πρώην ΤΕΙ ΗΠΕΙΡΟΥ ΣΤΗΝ ΑΡΤΑ  ΑΚΑΔΗΜΑΪΚΟΥ ΕΤΟΥΣ 2018-2019 </t>
  </si>
  <si>
    <t>Φοιτητές που υπέβαλλαν μόνο την ηλεκτρονική αίτηση και δεν επισύναψαν τα δικαιολογητικά για στέγαση</t>
  </si>
  <si>
    <t>ΛΟΓΟΙ ΥΓΕΙΑΣ Ή ΑΝΑΠΗΡΙΑΣ Γονέων (ΒΕΒΑΙΩΣΗ ΑΠΌ ΑΡΜΟΔΙΑ ΔΗΜΟΣΙΑ ΥΓΕΙΟΝΟΜΙΚΗ ΕΠΙΤΡΟΠΗ (Α΄ή Β βαθμια - αν ισχύουν δίνετε τιμή 1)</t>
  </si>
  <si>
    <t>Εκπτώσεις από σπουδές ή στρατ. Θητεία Αδερφών στο κατακεφαλή εισόδημα  (30%)</t>
  </si>
  <si>
    <t>Εκπτώσεις από ορφανός από 1 γονέα στο κατακεφαλή εισόδημα (20%)</t>
  </si>
  <si>
    <t>Εκπτώσεις από μονογονεική κατακεφαλή εισόδημα  (10%)</t>
  </si>
  <si>
    <t>Εκπτώσεις από αναπηρία γονέων &gt; 67% στο κατακεφαλή εισόδημα  (30%)</t>
  </si>
  <si>
    <t>Εκπτώσεις από άνεργο στο κατακεφαλή εισόδημα (30%)</t>
  </si>
  <si>
    <t xml:space="preserve">ΕΙΣΑΚΤΕΟΙ </t>
  </si>
  <si>
    <t>ΕΠΙΛΑΧΟΝΤΕΣ</t>
  </si>
  <si>
    <t>25,7 χλμ από Άρτα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</si>
</sst>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  <numFmt numFmtId="170" formatCode="[$-408]dddd\,\ d\ mmmm\ yyyy"/>
    <numFmt numFmtId="171" formatCode="[$-408]h:mm:ss\ AM/PM"/>
    <numFmt numFmtId="172" formatCode="#,##0.000\ &quot;€&quot;"/>
    <numFmt numFmtId="173" formatCode="#,##0.0000\ &quot;€&quot;"/>
  </numFmts>
  <fonts count="6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2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22"/>
      <name val="Arial"/>
      <family val="2"/>
    </font>
    <font>
      <b/>
      <sz val="14"/>
      <color indexed="14"/>
      <name val="Arial"/>
      <family val="2"/>
    </font>
    <font>
      <sz val="14"/>
      <color indexed="14"/>
      <name val="Arial"/>
      <family val="2"/>
    </font>
    <font>
      <b/>
      <sz val="14"/>
      <color indexed="17"/>
      <name val="Arial"/>
      <family val="0"/>
    </font>
    <font>
      <sz val="14"/>
      <color indexed="1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00B050"/>
      <name val="Arial"/>
      <family val="2"/>
    </font>
    <font>
      <sz val="14"/>
      <color rgb="FF00B05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8" borderId="1" applyNumberFormat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35" borderId="1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34" borderId="0" xfId="0" applyFont="1" applyFill="1" applyAlignment="1">
      <alignment/>
    </xf>
    <xf numFmtId="0" fontId="60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165" fontId="7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5" fillId="33" borderId="12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textRotation="90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4" borderId="12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165" fontId="7" fillId="0" borderId="11" xfId="0" applyNumberFormat="1" applyFont="1" applyFill="1" applyBorder="1" applyAlignment="1">
      <alignment horizontal="right" wrapText="1"/>
    </xf>
    <xf numFmtId="164" fontId="7" fillId="0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wrapText="1"/>
    </xf>
    <xf numFmtId="165" fontId="7" fillId="0" borderId="11" xfId="0" applyNumberFormat="1" applyFont="1" applyBorder="1" applyAlignment="1">
      <alignment wrapText="1"/>
    </xf>
    <xf numFmtId="4" fontId="7" fillId="0" borderId="11" xfId="0" applyNumberFormat="1" applyFont="1" applyBorder="1" applyAlignment="1">
      <alignment/>
    </xf>
    <xf numFmtId="165" fontId="7" fillId="0" borderId="11" xfId="0" applyNumberFormat="1" applyFont="1" applyBorder="1" applyAlignment="1">
      <alignment horizontal="right" wrapText="1"/>
    </xf>
    <xf numFmtId="14" fontId="7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11" xfId="0" applyFont="1" applyBorder="1" applyAlignment="1">
      <alignment/>
    </xf>
    <xf numFmtId="0" fontId="5" fillId="33" borderId="12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164" fontId="62" fillId="0" borderId="11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horizontal="center" wrapText="1"/>
    </xf>
    <xf numFmtId="165" fontId="63" fillId="0" borderId="11" xfId="0" applyNumberFormat="1" applyFont="1" applyFill="1" applyBorder="1" applyAlignment="1">
      <alignment wrapText="1"/>
    </xf>
    <xf numFmtId="164" fontId="63" fillId="0" borderId="11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165" fontId="63" fillId="0" borderId="11" xfId="0" applyNumberFormat="1" applyFont="1" applyBorder="1" applyAlignment="1">
      <alignment wrapText="1"/>
    </xf>
    <xf numFmtId="4" fontId="63" fillId="0" borderId="11" xfId="0" applyNumberFormat="1" applyFont="1" applyBorder="1" applyAlignment="1">
      <alignment/>
    </xf>
    <xf numFmtId="4" fontId="62" fillId="0" borderId="11" xfId="0" applyNumberFormat="1" applyFont="1" applyBorder="1" applyAlignment="1">
      <alignment/>
    </xf>
    <xf numFmtId="0" fontId="64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164" fontId="63" fillId="0" borderId="11" xfId="0" applyNumberFormat="1" applyFont="1" applyFill="1" applyBorder="1" applyAlignment="1">
      <alignment/>
    </xf>
    <xf numFmtId="3" fontId="62" fillId="0" borderId="11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66" fillId="0" borderId="11" xfId="0" applyFont="1" applyBorder="1" applyAlignment="1">
      <alignment/>
    </xf>
    <xf numFmtId="0" fontId="17" fillId="36" borderId="14" xfId="0" applyFont="1" applyFill="1" applyBorder="1" applyAlignment="1">
      <alignment horizontal="center" vertical="center" textRotation="90" wrapText="1"/>
    </xf>
    <xf numFmtId="0" fontId="15" fillId="36" borderId="14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90"/>
    </xf>
    <xf numFmtId="0" fontId="5" fillId="33" borderId="0" xfId="0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 vertical="center" textRotation="90" wrapText="1"/>
    </xf>
    <xf numFmtId="0" fontId="8" fillId="34" borderId="0" xfId="0" applyFont="1" applyFill="1" applyBorder="1" applyAlignment="1">
      <alignment horizontal="center" vertical="center" textRotation="90" wrapText="1"/>
    </xf>
    <xf numFmtId="0" fontId="18" fillId="33" borderId="15" xfId="0" applyFont="1" applyFill="1" applyBorder="1" applyAlignment="1">
      <alignment horizontal="left" vertical="center"/>
    </xf>
    <xf numFmtId="0" fontId="20" fillId="0" borderId="11" xfId="0" applyFont="1" applyBorder="1" applyAlignment="1">
      <alignment/>
    </xf>
    <xf numFmtId="4" fontId="63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right" wrapText="1"/>
    </xf>
    <xf numFmtId="0" fontId="66" fillId="0" borderId="18" xfId="0" applyFont="1" applyBorder="1" applyAlignment="1">
      <alignment/>
    </xf>
    <xf numFmtId="0" fontId="7" fillId="0" borderId="18" xfId="0" applyFont="1" applyFill="1" applyBorder="1" applyAlignment="1">
      <alignment horizontal="center"/>
    </xf>
    <xf numFmtId="14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165" fontId="7" fillId="0" borderId="18" xfId="0" applyNumberFormat="1" applyFont="1" applyFill="1" applyBorder="1" applyAlignment="1">
      <alignment horizontal="right" wrapText="1"/>
    </xf>
    <xf numFmtId="165" fontId="7" fillId="0" borderId="18" xfId="0" applyNumberFormat="1" applyFont="1" applyFill="1" applyBorder="1" applyAlignment="1">
      <alignment wrapText="1"/>
    </xf>
    <xf numFmtId="164" fontId="7" fillId="0" borderId="18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4"/>
  <sheetViews>
    <sheetView tabSelected="1" view="pageBreakPreview" zoomScaleNormal="75" zoomScaleSheetLayoutView="100" zoomScalePageLayoutView="0" workbookViewId="0" topLeftCell="B1">
      <pane ySplit="3" topLeftCell="A4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6.28125" style="1" hidden="1" customWidth="1"/>
    <col min="2" max="2" width="6.00390625" style="13" customWidth="1"/>
    <col min="3" max="3" width="9.140625" style="2" customWidth="1"/>
    <col min="4" max="4" width="9.140625" style="2" bestFit="1" customWidth="1"/>
    <col min="5" max="5" width="5.57421875" style="2" customWidth="1"/>
    <col min="6" max="6" width="17.57421875" style="2" customWidth="1"/>
    <col min="7" max="17" width="5.421875" style="2" customWidth="1"/>
    <col min="18" max="18" width="5.28125" style="2" customWidth="1"/>
    <col min="19" max="19" width="6.28125" style="2" customWidth="1"/>
    <col min="20" max="21" width="13.421875" style="2" customWidth="1"/>
    <col min="22" max="22" width="13.140625" style="2" customWidth="1"/>
    <col min="23" max="23" width="0.71875" style="2" hidden="1" customWidth="1"/>
    <col min="24" max="24" width="0.13671875" style="2" hidden="1" customWidth="1"/>
    <col min="25" max="25" width="15.7109375" style="2" hidden="1" customWidth="1"/>
    <col min="26" max="26" width="16.00390625" style="2" customWidth="1"/>
    <col min="27" max="32" width="13.421875" style="2" customWidth="1"/>
    <col min="33" max="33" width="36.00390625" style="2" bestFit="1" customWidth="1"/>
    <col min="34" max="34" width="46.00390625" style="57" bestFit="1" customWidth="1"/>
    <col min="35" max="16384" width="9.140625" style="1" customWidth="1"/>
  </cols>
  <sheetData>
    <row r="1" spans="2:34" s="4" customFormat="1" ht="27.75">
      <c r="B1" s="12"/>
      <c r="C1" s="94" t="s">
        <v>65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ht="6.75" customHeight="1" thickBot="1">
      <c r="C2" s="52"/>
    </row>
    <row r="3" spans="1:34" ht="197.25" customHeight="1" thickTop="1">
      <c r="A3" s="6" t="s">
        <v>0</v>
      </c>
      <c r="B3" s="31" t="s">
        <v>0</v>
      </c>
      <c r="C3" s="32" t="s">
        <v>17</v>
      </c>
      <c r="D3" s="33" t="s">
        <v>1</v>
      </c>
      <c r="E3" s="33" t="s">
        <v>5</v>
      </c>
      <c r="F3" s="56" t="s">
        <v>24</v>
      </c>
      <c r="G3" s="34" t="s">
        <v>4</v>
      </c>
      <c r="H3" s="34" t="s">
        <v>6</v>
      </c>
      <c r="I3" s="34" t="s">
        <v>23</v>
      </c>
      <c r="J3" s="34" t="s">
        <v>2</v>
      </c>
      <c r="K3" s="34" t="s">
        <v>12</v>
      </c>
      <c r="L3" s="34" t="s">
        <v>20</v>
      </c>
      <c r="M3" s="34" t="s">
        <v>13</v>
      </c>
      <c r="N3" s="34" t="s">
        <v>21</v>
      </c>
      <c r="O3" s="34" t="s">
        <v>7</v>
      </c>
      <c r="P3" s="34" t="s">
        <v>22</v>
      </c>
      <c r="Q3" s="34" t="s">
        <v>3</v>
      </c>
      <c r="R3" s="34" t="s">
        <v>14</v>
      </c>
      <c r="S3" s="34" t="s">
        <v>67</v>
      </c>
      <c r="T3" s="34" t="s">
        <v>19</v>
      </c>
      <c r="U3" s="34" t="s">
        <v>18</v>
      </c>
      <c r="V3" s="34" t="s">
        <v>8</v>
      </c>
      <c r="W3" s="34" t="s">
        <v>9</v>
      </c>
      <c r="X3" s="35" t="s">
        <v>16</v>
      </c>
      <c r="Y3" s="35" t="s">
        <v>15</v>
      </c>
      <c r="Z3" s="34" t="s">
        <v>10</v>
      </c>
      <c r="AA3" s="34" t="s">
        <v>68</v>
      </c>
      <c r="AB3" s="34" t="s">
        <v>69</v>
      </c>
      <c r="AC3" s="34" t="s">
        <v>70</v>
      </c>
      <c r="AD3" s="34" t="s">
        <v>71</v>
      </c>
      <c r="AE3" s="34" t="s">
        <v>72</v>
      </c>
      <c r="AF3" s="36" t="s">
        <v>11</v>
      </c>
      <c r="AG3" s="75" t="s">
        <v>25</v>
      </c>
      <c r="AH3" s="76" t="s">
        <v>26</v>
      </c>
    </row>
    <row r="4" spans="1:34" ht="33.75" customHeight="1">
      <c r="A4" s="6"/>
      <c r="B4" s="84" t="s">
        <v>73</v>
      </c>
      <c r="C4" s="78"/>
      <c r="D4" s="79"/>
      <c r="E4" s="79"/>
      <c r="F4" s="80"/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81"/>
      <c r="S4" s="81"/>
      <c r="T4" s="81"/>
      <c r="U4" s="81"/>
      <c r="V4" s="81"/>
      <c r="W4" s="81"/>
      <c r="X4" s="83"/>
      <c r="Y4" s="83"/>
      <c r="Z4" s="81"/>
      <c r="AA4" s="81"/>
      <c r="AB4" s="81"/>
      <c r="AC4" s="81"/>
      <c r="AD4" s="81"/>
      <c r="AE4" s="81"/>
      <c r="AF4" s="81"/>
      <c r="AG4" s="75"/>
      <c r="AH4" s="76"/>
    </row>
    <row r="5" spans="1:34" s="20" customFormat="1" ht="18">
      <c r="A5" s="19">
        <v>8</v>
      </c>
      <c r="B5" s="26">
        <v>1</v>
      </c>
      <c r="C5" s="74">
        <v>2638</v>
      </c>
      <c r="D5" s="38" t="s">
        <v>28</v>
      </c>
      <c r="E5" s="47">
        <v>1</v>
      </c>
      <c r="F5" s="53">
        <v>43395</v>
      </c>
      <c r="G5" s="47">
        <v>1</v>
      </c>
      <c r="H5" s="47">
        <v>1</v>
      </c>
      <c r="I5" s="47">
        <v>1</v>
      </c>
      <c r="J5" s="47">
        <v>1</v>
      </c>
      <c r="K5" s="47">
        <v>0</v>
      </c>
      <c r="L5" s="47">
        <v>3</v>
      </c>
      <c r="M5" s="47">
        <v>1</v>
      </c>
      <c r="N5" s="47">
        <v>1</v>
      </c>
      <c r="O5" s="47">
        <v>0</v>
      </c>
      <c r="P5" s="47">
        <v>0</v>
      </c>
      <c r="Q5" s="47">
        <v>0</v>
      </c>
      <c r="R5" s="47">
        <v>1</v>
      </c>
      <c r="S5" s="47">
        <v>0</v>
      </c>
      <c r="T5" s="48">
        <v>0</v>
      </c>
      <c r="U5" s="48">
        <v>0</v>
      </c>
      <c r="V5" s="48">
        <v>0</v>
      </c>
      <c r="W5" s="48"/>
      <c r="X5" s="48"/>
      <c r="Y5" s="48"/>
      <c r="Z5" s="48">
        <f aca="true" t="shared" si="0" ref="Z5:Z37">((T5*50%+U5*85%+V5)/L5)+W5</f>
        <v>0</v>
      </c>
      <c r="AA5" s="48">
        <f aca="true" t="shared" si="1" ref="AA5:AA37">IF(O5=1,Z5*30%,0)</f>
        <v>0</v>
      </c>
      <c r="AB5" s="48">
        <f aca="true" t="shared" si="2" ref="AB5:AB37">IF(K5=1,Z5*20%,0)</f>
        <v>0</v>
      </c>
      <c r="AC5" s="48">
        <f aca="true" t="shared" si="3" ref="AC5:AC37">IF(R5=1,Z5*10%,0)</f>
        <v>0</v>
      </c>
      <c r="AD5" s="48">
        <f aca="true" t="shared" si="4" ref="AD5:AD37">IF(S5=1,Z5*30%,0)</f>
        <v>0</v>
      </c>
      <c r="AE5" s="48">
        <f aca="true" t="shared" si="5" ref="AE5:AE37">IF(I5=1,Z5*30%,0)</f>
        <v>0</v>
      </c>
      <c r="AF5" s="48">
        <f aca="true" t="shared" si="6" ref="AF5:AF37">Z5-AA5-AB5-AC5-AD5-AE5</f>
        <v>0</v>
      </c>
      <c r="AG5" s="49" t="s">
        <v>44</v>
      </c>
      <c r="AH5" s="49"/>
    </row>
    <row r="6" spans="1:34" ht="18">
      <c r="A6" s="3"/>
      <c r="B6" s="26">
        <v>2</v>
      </c>
      <c r="C6" s="74">
        <v>16018</v>
      </c>
      <c r="D6" s="27" t="s">
        <v>43</v>
      </c>
      <c r="E6" s="28">
        <v>1</v>
      </c>
      <c r="F6" s="45">
        <v>43385</v>
      </c>
      <c r="G6" s="28">
        <v>1</v>
      </c>
      <c r="H6" s="28">
        <v>1</v>
      </c>
      <c r="I6" s="28">
        <v>0</v>
      </c>
      <c r="J6" s="28">
        <v>1</v>
      </c>
      <c r="K6" s="28">
        <v>0</v>
      </c>
      <c r="L6" s="28">
        <v>6</v>
      </c>
      <c r="M6" s="28">
        <v>1</v>
      </c>
      <c r="N6" s="28">
        <v>1</v>
      </c>
      <c r="O6" s="28">
        <v>0</v>
      </c>
      <c r="P6" s="28">
        <v>1</v>
      </c>
      <c r="Q6" s="28">
        <v>0</v>
      </c>
      <c r="R6" s="28">
        <v>0</v>
      </c>
      <c r="S6" s="28">
        <v>0</v>
      </c>
      <c r="T6" s="29"/>
      <c r="U6" s="29"/>
      <c r="V6" s="29">
        <v>94</v>
      </c>
      <c r="W6" s="29"/>
      <c r="X6" s="29"/>
      <c r="Y6" s="29"/>
      <c r="Z6" s="29">
        <f t="shared" si="0"/>
        <v>15.666666666666666</v>
      </c>
      <c r="AA6" s="29">
        <f t="shared" si="1"/>
        <v>0</v>
      </c>
      <c r="AB6" s="29">
        <f t="shared" si="2"/>
        <v>0</v>
      </c>
      <c r="AC6" s="29">
        <f t="shared" si="3"/>
        <v>0</v>
      </c>
      <c r="AD6" s="29">
        <f t="shared" si="4"/>
        <v>0</v>
      </c>
      <c r="AE6" s="29">
        <f t="shared" si="5"/>
        <v>0</v>
      </c>
      <c r="AF6" s="29">
        <f t="shared" si="6"/>
        <v>15.666666666666666</v>
      </c>
      <c r="AG6" s="43" t="s">
        <v>54</v>
      </c>
      <c r="AH6" s="43"/>
    </row>
    <row r="7" spans="1:34" s="20" customFormat="1" ht="18">
      <c r="A7" s="19"/>
      <c r="B7" s="26">
        <v>3</v>
      </c>
      <c r="C7" s="74">
        <v>16038</v>
      </c>
      <c r="D7" s="27" t="s">
        <v>43</v>
      </c>
      <c r="E7" s="27">
        <v>1</v>
      </c>
      <c r="F7" s="40">
        <v>43386</v>
      </c>
      <c r="G7" s="28">
        <v>1</v>
      </c>
      <c r="H7" s="27">
        <v>1</v>
      </c>
      <c r="I7" s="27">
        <v>1</v>
      </c>
      <c r="J7" s="27">
        <v>1</v>
      </c>
      <c r="K7" s="28">
        <v>0</v>
      </c>
      <c r="L7" s="28">
        <v>3</v>
      </c>
      <c r="M7" s="27">
        <v>1</v>
      </c>
      <c r="N7" s="27">
        <v>1</v>
      </c>
      <c r="O7" s="27">
        <v>1</v>
      </c>
      <c r="P7" s="27">
        <v>0</v>
      </c>
      <c r="Q7" s="27">
        <v>0</v>
      </c>
      <c r="R7" s="27">
        <v>1</v>
      </c>
      <c r="S7" s="27">
        <v>0</v>
      </c>
      <c r="T7" s="42">
        <v>8661.16</v>
      </c>
      <c r="U7" s="42"/>
      <c r="V7" s="42">
        <v>0.13</v>
      </c>
      <c r="W7" s="42"/>
      <c r="X7" s="42"/>
      <c r="Y7" s="42"/>
      <c r="Z7" s="29">
        <f t="shared" si="0"/>
        <v>1443.57</v>
      </c>
      <c r="AA7" s="29">
        <f t="shared" si="1"/>
        <v>433.07099999999997</v>
      </c>
      <c r="AB7" s="29">
        <f t="shared" si="2"/>
        <v>0</v>
      </c>
      <c r="AC7" s="29">
        <f t="shared" si="3"/>
        <v>144.357</v>
      </c>
      <c r="AD7" s="29">
        <f t="shared" si="4"/>
        <v>0</v>
      </c>
      <c r="AE7" s="29">
        <f t="shared" si="5"/>
        <v>433.07099999999997</v>
      </c>
      <c r="AF7" s="29">
        <f t="shared" si="6"/>
        <v>433.0710000000001</v>
      </c>
      <c r="AG7" s="46" t="s">
        <v>34</v>
      </c>
      <c r="AH7" s="46"/>
    </row>
    <row r="8" spans="1:34" s="18" customFormat="1" ht="18">
      <c r="A8" s="17"/>
      <c r="B8" s="26">
        <v>4</v>
      </c>
      <c r="C8" s="74">
        <v>16015</v>
      </c>
      <c r="D8" s="27" t="s">
        <v>43</v>
      </c>
      <c r="E8" s="27">
        <v>1</v>
      </c>
      <c r="F8" s="40">
        <v>43381</v>
      </c>
      <c r="G8" s="27">
        <v>1</v>
      </c>
      <c r="H8" s="27">
        <v>1</v>
      </c>
      <c r="I8" s="28">
        <v>1</v>
      </c>
      <c r="J8" s="27">
        <v>1</v>
      </c>
      <c r="K8" s="28">
        <v>0</v>
      </c>
      <c r="L8" s="28">
        <v>4</v>
      </c>
      <c r="M8" s="28">
        <v>1</v>
      </c>
      <c r="N8" s="27">
        <v>1</v>
      </c>
      <c r="O8" s="27">
        <v>1</v>
      </c>
      <c r="P8" s="27">
        <v>0</v>
      </c>
      <c r="Q8" s="27">
        <v>1</v>
      </c>
      <c r="R8" s="27">
        <v>1</v>
      </c>
      <c r="S8" s="27">
        <v>0</v>
      </c>
      <c r="T8" s="29">
        <v>11820.66</v>
      </c>
      <c r="U8" s="29"/>
      <c r="V8" s="29">
        <v>0.33</v>
      </c>
      <c r="W8" s="29"/>
      <c r="X8" s="29"/>
      <c r="Y8" s="29"/>
      <c r="Z8" s="29">
        <f t="shared" si="0"/>
        <v>1477.665</v>
      </c>
      <c r="AA8" s="29">
        <f t="shared" si="1"/>
        <v>443.29949999999997</v>
      </c>
      <c r="AB8" s="29">
        <f t="shared" si="2"/>
        <v>0</v>
      </c>
      <c r="AC8" s="29">
        <f t="shared" si="3"/>
        <v>147.7665</v>
      </c>
      <c r="AD8" s="29">
        <f t="shared" si="4"/>
        <v>0</v>
      </c>
      <c r="AE8" s="29">
        <f t="shared" si="5"/>
        <v>443.29949999999997</v>
      </c>
      <c r="AF8" s="29">
        <f t="shared" si="6"/>
        <v>443.29949999999997</v>
      </c>
      <c r="AG8" s="43" t="s">
        <v>49</v>
      </c>
      <c r="AH8" s="43"/>
    </row>
    <row r="9" spans="1:34" ht="18">
      <c r="A9" s="3"/>
      <c r="B9" s="26">
        <v>5</v>
      </c>
      <c r="C9" s="74">
        <v>15950</v>
      </c>
      <c r="D9" s="27" t="s">
        <v>43</v>
      </c>
      <c r="E9" s="27">
        <v>1</v>
      </c>
      <c r="F9" s="40">
        <v>43381</v>
      </c>
      <c r="G9" s="27">
        <v>1</v>
      </c>
      <c r="H9" s="27">
        <v>1</v>
      </c>
      <c r="I9" s="27">
        <v>0</v>
      </c>
      <c r="J9" s="27">
        <v>1</v>
      </c>
      <c r="K9" s="28">
        <v>1</v>
      </c>
      <c r="L9" s="28">
        <v>3</v>
      </c>
      <c r="M9" s="28">
        <v>1</v>
      </c>
      <c r="N9" s="27">
        <v>1</v>
      </c>
      <c r="O9" s="27">
        <v>0</v>
      </c>
      <c r="P9" s="27">
        <v>1</v>
      </c>
      <c r="Q9" s="27">
        <v>0</v>
      </c>
      <c r="R9" s="27">
        <v>0</v>
      </c>
      <c r="S9" s="27">
        <v>0</v>
      </c>
      <c r="T9" s="29"/>
      <c r="U9" s="29"/>
      <c r="V9" s="29">
        <v>1664.64</v>
      </c>
      <c r="W9" s="29"/>
      <c r="X9" s="29"/>
      <c r="Y9" s="29"/>
      <c r="Z9" s="29">
        <f t="shared" si="0"/>
        <v>554.88</v>
      </c>
      <c r="AA9" s="29">
        <f t="shared" si="1"/>
        <v>0</v>
      </c>
      <c r="AB9" s="29">
        <f t="shared" si="2"/>
        <v>110.976</v>
      </c>
      <c r="AC9" s="29">
        <f t="shared" si="3"/>
        <v>0</v>
      </c>
      <c r="AD9" s="29">
        <f t="shared" si="4"/>
        <v>0</v>
      </c>
      <c r="AE9" s="29">
        <f t="shared" si="5"/>
        <v>0</v>
      </c>
      <c r="AF9" s="29">
        <f t="shared" si="6"/>
        <v>443.904</v>
      </c>
      <c r="AG9" s="43" t="s">
        <v>52</v>
      </c>
      <c r="AH9" s="43"/>
    </row>
    <row r="10" spans="1:34" ht="18">
      <c r="A10" s="3"/>
      <c r="B10" s="26">
        <v>6</v>
      </c>
      <c r="C10" s="74">
        <v>16049</v>
      </c>
      <c r="D10" s="27" t="s">
        <v>33</v>
      </c>
      <c r="E10" s="27">
        <v>1</v>
      </c>
      <c r="F10" s="40">
        <v>43387</v>
      </c>
      <c r="G10" s="27">
        <v>1</v>
      </c>
      <c r="H10" s="27">
        <v>1</v>
      </c>
      <c r="I10" s="28">
        <v>0</v>
      </c>
      <c r="J10" s="27">
        <v>1</v>
      </c>
      <c r="K10" s="28">
        <v>1</v>
      </c>
      <c r="L10" s="28">
        <v>3</v>
      </c>
      <c r="M10" s="28">
        <v>1</v>
      </c>
      <c r="N10" s="27">
        <v>1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9">
        <v>1486.2</v>
      </c>
      <c r="U10" s="29"/>
      <c r="V10" s="29">
        <f>2500-T10</f>
        <v>1013.8</v>
      </c>
      <c r="W10" s="29"/>
      <c r="X10" s="29"/>
      <c r="Y10" s="29"/>
      <c r="Z10" s="29">
        <f t="shared" si="0"/>
        <v>585.6333333333333</v>
      </c>
      <c r="AA10" s="29">
        <f t="shared" si="1"/>
        <v>0</v>
      </c>
      <c r="AB10" s="29">
        <f t="shared" si="2"/>
        <v>117.12666666666667</v>
      </c>
      <c r="AC10" s="29">
        <f t="shared" si="3"/>
        <v>0</v>
      </c>
      <c r="AD10" s="29">
        <f t="shared" si="4"/>
        <v>0</v>
      </c>
      <c r="AE10" s="29">
        <f t="shared" si="5"/>
        <v>0</v>
      </c>
      <c r="AF10" s="29">
        <f t="shared" si="6"/>
        <v>468.50666666666666</v>
      </c>
      <c r="AG10" s="43" t="s">
        <v>41</v>
      </c>
      <c r="AH10" s="43"/>
    </row>
    <row r="11" spans="1:34" ht="18">
      <c r="A11" s="3">
        <v>27</v>
      </c>
      <c r="B11" s="26">
        <v>7</v>
      </c>
      <c r="C11" s="74">
        <v>2768</v>
      </c>
      <c r="D11" s="27" t="s">
        <v>28</v>
      </c>
      <c r="E11" s="27">
        <v>1</v>
      </c>
      <c r="F11" s="45">
        <v>43388</v>
      </c>
      <c r="G11" s="28">
        <v>1</v>
      </c>
      <c r="H11" s="28">
        <v>1</v>
      </c>
      <c r="I11" s="28">
        <v>0</v>
      </c>
      <c r="J11" s="28">
        <v>1</v>
      </c>
      <c r="K11" s="28">
        <v>0</v>
      </c>
      <c r="L11" s="28">
        <v>5</v>
      </c>
      <c r="M11" s="28">
        <v>1</v>
      </c>
      <c r="N11" s="28">
        <v>1</v>
      </c>
      <c r="O11" s="28">
        <v>1</v>
      </c>
      <c r="P11" s="28">
        <v>1</v>
      </c>
      <c r="Q11" s="28">
        <v>0</v>
      </c>
      <c r="R11" s="28">
        <v>0</v>
      </c>
      <c r="S11" s="28">
        <v>0</v>
      </c>
      <c r="T11" s="29">
        <f>1423.37+1614.59+968.76</f>
        <v>4006.7200000000003</v>
      </c>
      <c r="U11" s="29">
        <v>1716.31</v>
      </c>
      <c r="V11" s="29">
        <f>2.06+1</f>
        <v>3.06</v>
      </c>
      <c r="W11" s="29"/>
      <c r="X11" s="29"/>
      <c r="Y11" s="29"/>
      <c r="Z11" s="29">
        <f t="shared" si="0"/>
        <v>693.0567</v>
      </c>
      <c r="AA11" s="29">
        <f t="shared" si="1"/>
        <v>207.91700999999998</v>
      </c>
      <c r="AB11" s="29">
        <f t="shared" si="2"/>
        <v>0</v>
      </c>
      <c r="AC11" s="29">
        <f t="shared" si="3"/>
        <v>0</v>
      </c>
      <c r="AD11" s="29">
        <f t="shared" si="4"/>
        <v>0</v>
      </c>
      <c r="AE11" s="29">
        <f t="shared" si="5"/>
        <v>0</v>
      </c>
      <c r="AF11" s="29">
        <f t="shared" si="6"/>
        <v>485.13969</v>
      </c>
      <c r="AG11" s="44" t="s">
        <v>30</v>
      </c>
      <c r="AH11" s="44"/>
    </row>
    <row r="12" spans="1:34" s="18" customFormat="1" ht="18">
      <c r="A12" s="17"/>
      <c r="B12" s="26">
        <v>8</v>
      </c>
      <c r="C12" s="74">
        <v>16131</v>
      </c>
      <c r="D12" s="27" t="s">
        <v>43</v>
      </c>
      <c r="E12" s="27">
        <v>1</v>
      </c>
      <c r="F12" s="40">
        <v>43381</v>
      </c>
      <c r="G12" s="27">
        <v>1</v>
      </c>
      <c r="H12" s="27">
        <v>1</v>
      </c>
      <c r="I12" s="27">
        <v>1</v>
      </c>
      <c r="J12" s="27">
        <v>1</v>
      </c>
      <c r="K12" s="28">
        <v>0</v>
      </c>
      <c r="L12" s="28">
        <v>5</v>
      </c>
      <c r="M12" s="28">
        <v>1</v>
      </c>
      <c r="N12" s="27">
        <v>1</v>
      </c>
      <c r="O12" s="27">
        <v>0</v>
      </c>
      <c r="P12" s="27">
        <v>0</v>
      </c>
      <c r="Q12" s="27">
        <v>1</v>
      </c>
      <c r="R12" s="27">
        <v>0</v>
      </c>
      <c r="S12" s="27">
        <v>0</v>
      </c>
      <c r="T12" s="29">
        <v>2418.3</v>
      </c>
      <c r="U12" s="29"/>
      <c r="V12" s="29">
        <f>5014-T12</f>
        <v>2595.7</v>
      </c>
      <c r="W12" s="29"/>
      <c r="X12" s="29"/>
      <c r="Y12" s="29"/>
      <c r="Z12" s="29">
        <f t="shared" si="0"/>
        <v>760.97</v>
      </c>
      <c r="AA12" s="29">
        <f t="shared" si="1"/>
        <v>0</v>
      </c>
      <c r="AB12" s="29">
        <f t="shared" si="2"/>
        <v>0</v>
      </c>
      <c r="AC12" s="29">
        <f t="shared" si="3"/>
        <v>0</v>
      </c>
      <c r="AD12" s="29">
        <f t="shared" si="4"/>
        <v>0</v>
      </c>
      <c r="AE12" s="29">
        <f t="shared" si="5"/>
        <v>228.291</v>
      </c>
      <c r="AF12" s="29">
        <f t="shared" si="6"/>
        <v>532.6790000000001</v>
      </c>
      <c r="AG12" s="43" t="s">
        <v>53</v>
      </c>
      <c r="AH12" s="43"/>
    </row>
    <row r="13" spans="1:34" s="25" customFormat="1" ht="18">
      <c r="A13" s="24"/>
      <c r="B13" s="26">
        <v>9</v>
      </c>
      <c r="C13" s="74">
        <v>2773</v>
      </c>
      <c r="D13" s="38" t="s">
        <v>28</v>
      </c>
      <c r="E13" s="28">
        <v>1</v>
      </c>
      <c r="F13" s="45">
        <v>43395</v>
      </c>
      <c r="G13" s="28">
        <v>1</v>
      </c>
      <c r="H13" s="28">
        <v>1</v>
      </c>
      <c r="I13" s="28">
        <v>1</v>
      </c>
      <c r="J13" s="28">
        <v>1</v>
      </c>
      <c r="K13" s="28">
        <v>0</v>
      </c>
      <c r="L13" s="28">
        <v>6</v>
      </c>
      <c r="M13" s="28">
        <v>1</v>
      </c>
      <c r="N13" s="28">
        <v>1</v>
      </c>
      <c r="O13" s="28">
        <v>1</v>
      </c>
      <c r="P13" s="28">
        <v>1</v>
      </c>
      <c r="Q13" s="28">
        <v>0</v>
      </c>
      <c r="R13" s="28">
        <v>0</v>
      </c>
      <c r="S13" s="28">
        <v>0</v>
      </c>
      <c r="T13" s="29">
        <v>1329.49</v>
      </c>
      <c r="U13" s="29"/>
      <c r="V13" s="29">
        <v>7481.75</v>
      </c>
      <c r="W13" s="29"/>
      <c r="X13" s="29"/>
      <c r="Y13" s="29"/>
      <c r="Z13" s="29">
        <f t="shared" si="0"/>
        <v>1357.7491666666667</v>
      </c>
      <c r="AA13" s="29">
        <f t="shared" si="1"/>
        <v>407.32475</v>
      </c>
      <c r="AB13" s="29">
        <f t="shared" si="2"/>
        <v>0</v>
      </c>
      <c r="AC13" s="29">
        <f t="shared" si="3"/>
        <v>0</v>
      </c>
      <c r="AD13" s="29">
        <f t="shared" si="4"/>
        <v>0</v>
      </c>
      <c r="AE13" s="29">
        <f t="shared" si="5"/>
        <v>407.32475</v>
      </c>
      <c r="AF13" s="29">
        <f t="shared" si="6"/>
        <v>543.0996666666667</v>
      </c>
      <c r="AG13" s="43" t="s">
        <v>46</v>
      </c>
      <c r="AH13" s="43"/>
    </row>
    <row r="14" spans="1:34" s="5" customFormat="1" ht="18">
      <c r="A14" s="7"/>
      <c r="B14" s="26">
        <v>10</v>
      </c>
      <c r="C14" s="55">
        <v>2766</v>
      </c>
      <c r="D14" s="27" t="s">
        <v>28</v>
      </c>
      <c r="E14" s="28">
        <v>1</v>
      </c>
      <c r="F14" s="45">
        <v>43388</v>
      </c>
      <c r="G14" s="61">
        <v>1</v>
      </c>
      <c r="H14" s="61">
        <v>1</v>
      </c>
      <c r="I14" s="61">
        <v>0</v>
      </c>
      <c r="J14" s="61">
        <v>1</v>
      </c>
      <c r="K14" s="61">
        <v>0</v>
      </c>
      <c r="L14" s="61">
        <v>5</v>
      </c>
      <c r="M14" s="61">
        <v>1</v>
      </c>
      <c r="N14" s="61">
        <v>1</v>
      </c>
      <c r="O14" s="61">
        <v>0</v>
      </c>
      <c r="P14" s="61">
        <v>1</v>
      </c>
      <c r="Q14" s="61">
        <v>0</v>
      </c>
      <c r="R14" s="61">
        <v>0</v>
      </c>
      <c r="S14" s="61">
        <v>0</v>
      </c>
      <c r="T14" s="29">
        <v>5985</v>
      </c>
      <c r="U14" s="29"/>
      <c r="V14" s="29">
        <f>6333.97+0.03-T14</f>
        <v>349</v>
      </c>
      <c r="W14" s="29"/>
      <c r="X14" s="29"/>
      <c r="Y14" s="29"/>
      <c r="Z14" s="29">
        <f t="shared" si="0"/>
        <v>668.3</v>
      </c>
      <c r="AA14" s="29">
        <f t="shared" si="1"/>
        <v>0</v>
      </c>
      <c r="AB14" s="29">
        <f t="shared" si="2"/>
        <v>0</v>
      </c>
      <c r="AC14" s="29">
        <f t="shared" si="3"/>
        <v>0</v>
      </c>
      <c r="AD14" s="29">
        <f t="shared" si="4"/>
        <v>0</v>
      </c>
      <c r="AE14" s="29">
        <f t="shared" si="5"/>
        <v>0</v>
      </c>
      <c r="AF14" s="29">
        <f t="shared" si="6"/>
        <v>668.3</v>
      </c>
      <c r="AG14" s="43" t="s">
        <v>32</v>
      </c>
      <c r="AH14" s="43"/>
    </row>
    <row r="15" spans="1:34" s="20" customFormat="1" ht="18">
      <c r="A15" s="19"/>
      <c r="B15" s="26">
        <v>11</v>
      </c>
      <c r="C15" s="74">
        <v>15967</v>
      </c>
      <c r="D15" s="27" t="s">
        <v>43</v>
      </c>
      <c r="E15" s="27">
        <v>1</v>
      </c>
      <c r="F15" s="40">
        <v>43395</v>
      </c>
      <c r="G15" s="28">
        <v>1</v>
      </c>
      <c r="H15" s="27">
        <v>1</v>
      </c>
      <c r="I15" s="27">
        <v>0</v>
      </c>
      <c r="J15" s="27">
        <v>1</v>
      </c>
      <c r="K15" s="28">
        <v>1</v>
      </c>
      <c r="L15" s="28">
        <v>4</v>
      </c>
      <c r="M15" s="27">
        <v>1</v>
      </c>
      <c r="N15" s="27">
        <v>1</v>
      </c>
      <c r="O15" s="27">
        <v>0</v>
      </c>
      <c r="P15" s="27">
        <v>0</v>
      </c>
      <c r="Q15" s="27">
        <v>1</v>
      </c>
      <c r="R15" s="27">
        <v>0</v>
      </c>
      <c r="S15" s="27">
        <v>0</v>
      </c>
      <c r="T15" s="42"/>
      <c r="U15" s="42"/>
      <c r="V15" s="42">
        <v>3509.96</v>
      </c>
      <c r="W15" s="42"/>
      <c r="X15" s="42"/>
      <c r="Y15" s="42"/>
      <c r="Z15" s="29">
        <f t="shared" si="0"/>
        <v>877.49</v>
      </c>
      <c r="AA15" s="29">
        <f t="shared" si="1"/>
        <v>0</v>
      </c>
      <c r="AB15" s="29">
        <f t="shared" si="2"/>
        <v>175.49800000000002</v>
      </c>
      <c r="AC15" s="29">
        <f t="shared" si="3"/>
        <v>0</v>
      </c>
      <c r="AD15" s="29">
        <f t="shared" si="4"/>
        <v>0</v>
      </c>
      <c r="AE15" s="29">
        <f t="shared" si="5"/>
        <v>0</v>
      </c>
      <c r="AF15" s="29">
        <f t="shared" si="6"/>
        <v>701.992</v>
      </c>
      <c r="AG15" s="46" t="s">
        <v>34</v>
      </c>
      <c r="AH15" s="46"/>
    </row>
    <row r="16" spans="1:34" s="65" customFormat="1" ht="18">
      <c r="A16" s="64"/>
      <c r="B16" s="26">
        <v>12</v>
      </c>
      <c r="C16" s="74">
        <v>2825</v>
      </c>
      <c r="D16" s="38" t="s">
        <v>28</v>
      </c>
      <c r="E16" s="27">
        <v>1</v>
      </c>
      <c r="F16" s="40">
        <v>43391</v>
      </c>
      <c r="G16" s="27">
        <v>1</v>
      </c>
      <c r="H16" s="27">
        <v>1</v>
      </c>
      <c r="I16" s="27">
        <v>0</v>
      </c>
      <c r="J16" s="27">
        <v>1</v>
      </c>
      <c r="K16" s="28">
        <v>0</v>
      </c>
      <c r="L16" s="28">
        <v>4</v>
      </c>
      <c r="M16" s="28">
        <v>1</v>
      </c>
      <c r="N16" s="27">
        <v>1</v>
      </c>
      <c r="O16" s="27">
        <v>1</v>
      </c>
      <c r="P16" s="27">
        <v>0</v>
      </c>
      <c r="Q16" s="27">
        <v>1</v>
      </c>
      <c r="R16" s="27">
        <v>1</v>
      </c>
      <c r="S16" s="27">
        <v>0</v>
      </c>
      <c r="T16" s="29">
        <v>10254.91</v>
      </c>
      <c r="U16" s="29"/>
      <c r="V16" s="29">
        <v>34.42</v>
      </c>
      <c r="W16" s="29"/>
      <c r="X16" s="29"/>
      <c r="Y16" s="29"/>
      <c r="Z16" s="29">
        <f t="shared" si="0"/>
        <v>1290.46875</v>
      </c>
      <c r="AA16" s="29">
        <f t="shared" si="1"/>
        <v>387.140625</v>
      </c>
      <c r="AB16" s="29">
        <f t="shared" si="2"/>
        <v>0</v>
      </c>
      <c r="AC16" s="29">
        <f t="shared" si="3"/>
        <v>129.046875</v>
      </c>
      <c r="AD16" s="29">
        <f t="shared" si="4"/>
        <v>0</v>
      </c>
      <c r="AE16" s="29">
        <f t="shared" si="5"/>
        <v>0</v>
      </c>
      <c r="AF16" s="29">
        <f t="shared" si="6"/>
        <v>774.28125</v>
      </c>
      <c r="AG16" s="43" t="s">
        <v>38</v>
      </c>
      <c r="AH16" s="43"/>
    </row>
    <row r="17" spans="1:34" s="18" customFormat="1" ht="18">
      <c r="A17" s="17">
        <v>52</v>
      </c>
      <c r="B17" s="26">
        <v>13</v>
      </c>
      <c r="C17" s="74">
        <v>15967</v>
      </c>
      <c r="D17" s="28" t="s">
        <v>33</v>
      </c>
      <c r="E17" s="27">
        <v>1</v>
      </c>
      <c r="F17" s="40">
        <v>43389</v>
      </c>
      <c r="G17" s="27">
        <v>1</v>
      </c>
      <c r="H17" s="27">
        <v>1</v>
      </c>
      <c r="I17" s="27">
        <v>0</v>
      </c>
      <c r="J17" s="27">
        <v>1</v>
      </c>
      <c r="K17" s="28">
        <v>0</v>
      </c>
      <c r="L17" s="28">
        <v>5</v>
      </c>
      <c r="M17" s="28">
        <v>1</v>
      </c>
      <c r="N17" s="27">
        <v>1</v>
      </c>
      <c r="O17" s="27">
        <v>0</v>
      </c>
      <c r="P17" s="27">
        <v>0</v>
      </c>
      <c r="Q17" s="27">
        <v>1</v>
      </c>
      <c r="R17" s="27">
        <v>0</v>
      </c>
      <c r="S17" s="27">
        <v>0</v>
      </c>
      <c r="T17" s="29"/>
      <c r="U17" s="29">
        <v>988.79</v>
      </c>
      <c r="V17" s="29">
        <f>4021.93+0.18-U17</f>
        <v>3033.3199999999997</v>
      </c>
      <c r="W17" s="29"/>
      <c r="X17" s="29"/>
      <c r="Y17" s="29"/>
      <c r="Z17" s="29">
        <f t="shared" si="0"/>
        <v>774.7583</v>
      </c>
      <c r="AA17" s="29">
        <f t="shared" si="1"/>
        <v>0</v>
      </c>
      <c r="AB17" s="29">
        <f t="shared" si="2"/>
        <v>0</v>
      </c>
      <c r="AC17" s="29">
        <f t="shared" si="3"/>
        <v>0</v>
      </c>
      <c r="AD17" s="29">
        <f t="shared" si="4"/>
        <v>0</v>
      </c>
      <c r="AE17" s="29">
        <f t="shared" si="5"/>
        <v>0</v>
      </c>
      <c r="AF17" s="29">
        <f t="shared" si="6"/>
        <v>774.7583</v>
      </c>
      <c r="AG17" s="43" t="s">
        <v>40</v>
      </c>
      <c r="AH17" s="43"/>
    </row>
    <row r="18" spans="1:34" s="18" customFormat="1" ht="18">
      <c r="A18" s="17"/>
      <c r="B18" s="26">
        <v>14</v>
      </c>
      <c r="C18" s="74">
        <v>16015</v>
      </c>
      <c r="D18" s="27" t="s">
        <v>43</v>
      </c>
      <c r="E18" s="28">
        <v>1</v>
      </c>
      <c r="F18" s="45">
        <v>43381</v>
      </c>
      <c r="G18" s="28">
        <v>1</v>
      </c>
      <c r="H18" s="28">
        <v>1</v>
      </c>
      <c r="I18" s="28">
        <v>0</v>
      </c>
      <c r="J18" s="28">
        <v>1</v>
      </c>
      <c r="K18" s="28">
        <v>0</v>
      </c>
      <c r="L18" s="28">
        <v>4</v>
      </c>
      <c r="M18" s="28">
        <v>1</v>
      </c>
      <c r="N18" s="28">
        <v>1</v>
      </c>
      <c r="O18" s="28">
        <v>1</v>
      </c>
      <c r="P18" s="28">
        <v>0</v>
      </c>
      <c r="Q18" s="28">
        <v>1</v>
      </c>
      <c r="R18" s="28">
        <v>1</v>
      </c>
      <c r="S18" s="28">
        <v>0</v>
      </c>
      <c r="T18" s="29">
        <v>11820.66</v>
      </c>
      <c r="U18" s="29"/>
      <c r="V18" s="29">
        <v>0.33</v>
      </c>
      <c r="W18" s="29"/>
      <c r="X18" s="29"/>
      <c r="Y18" s="29"/>
      <c r="Z18" s="29">
        <f t="shared" si="0"/>
        <v>1477.665</v>
      </c>
      <c r="AA18" s="29">
        <f t="shared" si="1"/>
        <v>443.29949999999997</v>
      </c>
      <c r="AB18" s="29">
        <f t="shared" si="2"/>
        <v>0</v>
      </c>
      <c r="AC18" s="29">
        <f t="shared" si="3"/>
        <v>147.7665</v>
      </c>
      <c r="AD18" s="29">
        <f t="shared" si="4"/>
        <v>0</v>
      </c>
      <c r="AE18" s="29">
        <f t="shared" si="5"/>
        <v>0</v>
      </c>
      <c r="AF18" s="29">
        <f t="shared" si="6"/>
        <v>886.5989999999999</v>
      </c>
      <c r="AG18" s="44" t="s">
        <v>49</v>
      </c>
      <c r="AH18" s="44"/>
    </row>
    <row r="19" spans="1:34" s="18" customFormat="1" ht="18">
      <c r="A19" s="17"/>
      <c r="B19" s="26">
        <v>15</v>
      </c>
      <c r="C19" s="74">
        <v>16092</v>
      </c>
      <c r="D19" s="27" t="s">
        <v>33</v>
      </c>
      <c r="E19" s="28">
        <v>1</v>
      </c>
      <c r="F19" s="45">
        <v>43395</v>
      </c>
      <c r="G19" s="28">
        <v>1</v>
      </c>
      <c r="H19" s="28">
        <v>1</v>
      </c>
      <c r="I19" s="28">
        <v>0</v>
      </c>
      <c r="J19" s="28">
        <v>1</v>
      </c>
      <c r="K19" s="28">
        <v>0</v>
      </c>
      <c r="L19" s="28">
        <v>6</v>
      </c>
      <c r="M19" s="28">
        <v>1</v>
      </c>
      <c r="N19" s="28">
        <v>1</v>
      </c>
      <c r="O19" s="28">
        <v>1</v>
      </c>
      <c r="P19" s="28">
        <v>1</v>
      </c>
      <c r="Q19" s="28">
        <v>0</v>
      </c>
      <c r="R19" s="28">
        <v>0</v>
      </c>
      <c r="S19" s="28">
        <v>0</v>
      </c>
      <c r="T19" s="29">
        <v>12689.76</v>
      </c>
      <c r="U19" s="29">
        <v>1007.26</v>
      </c>
      <c r="V19" s="29">
        <f>12694.3+1594.67-T19-U19</f>
        <v>591.9499999999991</v>
      </c>
      <c r="W19" s="29"/>
      <c r="X19" s="29"/>
      <c r="Y19" s="29"/>
      <c r="Z19" s="29">
        <f t="shared" si="0"/>
        <v>1298.8335</v>
      </c>
      <c r="AA19" s="29">
        <f t="shared" si="1"/>
        <v>389.65004999999996</v>
      </c>
      <c r="AB19" s="29">
        <f t="shared" si="2"/>
        <v>0</v>
      </c>
      <c r="AC19" s="29">
        <f t="shared" si="3"/>
        <v>0</v>
      </c>
      <c r="AD19" s="29">
        <f t="shared" si="4"/>
        <v>0</v>
      </c>
      <c r="AE19" s="29">
        <f t="shared" si="5"/>
        <v>0</v>
      </c>
      <c r="AF19" s="29">
        <f t="shared" si="6"/>
        <v>909.18345</v>
      </c>
      <c r="AG19" s="43" t="s">
        <v>50</v>
      </c>
      <c r="AH19" s="43"/>
    </row>
    <row r="20" spans="1:34" s="20" customFormat="1" ht="18">
      <c r="A20" s="19">
        <v>203</v>
      </c>
      <c r="B20" s="26">
        <v>16</v>
      </c>
      <c r="C20" s="74">
        <v>16111</v>
      </c>
      <c r="D20" s="27" t="s">
        <v>43</v>
      </c>
      <c r="E20" s="27">
        <v>1</v>
      </c>
      <c r="F20" s="40">
        <v>43382</v>
      </c>
      <c r="G20" s="28">
        <v>1</v>
      </c>
      <c r="H20" s="27">
        <v>1</v>
      </c>
      <c r="I20" s="27">
        <v>0</v>
      </c>
      <c r="J20" s="27">
        <v>1</v>
      </c>
      <c r="K20" s="28">
        <v>0</v>
      </c>
      <c r="L20" s="28">
        <v>5</v>
      </c>
      <c r="M20" s="27">
        <v>1</v>
      </c>
      <c r="N20" s="27">
        <v>1</v>
      </c>
      <c r="O20" s="27">
        <v>0</v>
      </c>
      <c r="P20" s="27">
        <v>0</v>
      </c>
      <c r="Q20" s="27">
        <v>1</v>
      </c>
      <c r="R20" s="27">
        <v>0</v>
      </c>
      <c r="S20" s="27">
        <v>0</v>
      </c>
      <c r="T20" s="42">
        <f>8833.99+501.12</f>
        <v>9335.11</v>
      </c>
      <c r="U20" s="42"/>
      <c r="V20" s="42">
        <f>0.01+9340.11-T20</f>
        <v>5.010000000000218</v>
      </c>
      <c r="W20" s="42"/>
      <c r="X20" s="42"/>
      <c r="Y20" s="42"/>
      <c r="Z20" s="29">
        <f t="shared" si="0"/>
        <v>934.5130000000001</v>
      </c>
      <c r="AA20" s="29">
        <f t="shared" si="1"/>
        <v>0</v>
      </c>
      <c r="AB20" s="29">
        <f t="shared" si="2"/>
        <v>0</v>
      </c>
      <c r="AC20" s="29">
        <f t="shared" si="3"/>
        <v>0</v>
      </c>
      <c r="AD20" s="29">
        <f t="shared" si="4"/>
        <v>0</v>
      </c>
      <c r="AE20" s="29">
        <f t="shared" si="5"/>
        <v>0</v>
      </c>
      <c r="AF20" s="29">
        <f t="shared" si="6"/>
        <v>934.5130000000001</v>
      </c>
      <c r="AG20" s="43" t="s">
        <v>34</v>
      </c>
      <c r="AH20" s="43"/>
    </row>
    <row r="21" spans="1:34" s="18" customFormat="1" ht="18">
      <c r="A21" s="17">
        <v>178</v>
      </c>
      <c r="B21" s="26">
        <v>17</v>
      </c>
      <c r="C21" s="74">
        <v>16019</v>
      </c>
      <c r="D21" s="27" t="s">
        <v>43</v>
      </c>
      <c r="E21" s="27">
        <v>1</v>
      </c>
      <c r="F21" s="40">
        <v>43381</v>
      </c>
      <c r="G21" s="27">
        <v>1</v>
      </c>
      <c r="H21" s="27">
        <v>1</v>
      </c>
      <c r="I21" s="27">
        <v>1</v>
      </c>
      <c r="J21" s="27">
        <v>1</v>
      </c>
      <c r="K21" s="28">
        <v>0</v>
      </c>
      <c r="L21" s="28">
        <v>4</v>
      </c>
      <c r="M21" s="28">
        <v>1</v>
      </c>
      <c r="N21" s="27">
        <v>1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9"/>
      <c r="U21" s="29"/>
      <c r="V21" s="29">
        <f>0.14+5619.9</f>
        <v>5620.04</v>
      </c>
      <c r="W21" s="29"/>
      <c r="X21" s="29"/>
      <c r="Y21" s="29"/>
      <c r="Z21" s="29">
        <f t="shared" si="0"/>
        <v>1405.01</v>
      </c>
      <c r="AA21" s="29">
        <f t="shared" si="1"/>
        <v>0</v>
      </c>
      <c r="AB21" s="29">
        <f t="shared" si="2"/>
        <v>0</v>
      </c>
      <c r="AC21" s="29">
        <f t="shared" si="3"/>
        <v>0</v>
      </c>
      <c r="AD21" s="29">
        <f t="shared" si="4"/>
        <v>0</v>
      </c>
      <c r="AE21" s="29">
        <f t="shared" si="5"/>
        <v>421.503</v>
      </c>
      <c r="AF21" s="29">
        <f t="shared" si="6"/>
        <v>983.5070000000001</v>
      </c>
      <c r="AG21" s="46" t="s">
        <v>34</v>
      </c>
      <c r="AH21" s="46"/>
    </row>
    <row r="22" spans="1:34" s="20" customFormat="1" ht="18">
      <c r="A22" s="19">
        <v>163</v>
      </c>
      <c r="B22" s="26">
        <v>18</v>
      </c>
      <c r="C22" s="74">
        <v>15945</v>
      </c>
      <c r="D22" s="27" t="s">
        <v>43</v>
      </c>
      <c r="E22" s="27">
        <v>1</v>
      </c>
      <c r="F22" s="40">
        <v>43391</v>
      </c>
      <c r="G22" s="47">
        <v>1</v>
      </c>
      <c r="H22" s="38">
        <v>1</v>
      </c>
      <c r="I22" s="38">
        <v>0</v>
      </c>
      <c r="J22" s="38">
        <v>1</v>
      </c>
      <c r="K22" s="47">
        <v>0</v>
      </c>
      <c r="L22" s="47">
        <v>6</v>
      </c>
      <c r="M22" s="38">
        <v>1</v>
      </c>
      <c r="N22" s="38">
        <v>1</v>
      </c>
      <c r="O22" s="38">
        <v>1</v>
      </c>
      <c r="P22" s="38">
        <v>1</v>
      </c>
      <c r="Q22" s="38">
        <v>0</v>
      </c>
      <c r="R22" s="38">
        <v>0</v>
      </c>
      <c r="S22" s="38">
        <v>0</v>
      </c>
      <c r="T22" s="50">
        <f>15585.07+2840.61</f>
        <v>18425.68</v>
      </c>
      <c r="U22" s="50"/>
      <c r="V22" s="50">
        <f>15588.97+2840.88-T22</f>
        <v>4.169999999998254</v>
      </c>
      <c r="W22" s="50"/>
      <c r="X22" s="50"/>
      <c r="Y22" s="50"/>
      <c r="Z22" s="48">
        <f t="shared" si="0"/>
        <v>1536.168333333333</v>
      </c>
      <c r="AA22" s="48">
        <f t="shared" si="1"/>
        <v>460.8504999999999</v>
      </c>
      <c r="AB22" s="48">
        <f t="shared" si="2"/>
        <v>0</v>
      </c>
      <c r="AC22" s="48">
        <f t="shared" si="3"/>
        <v>0</v>
      </c>
      <c r="AD22" s="48">
        <f t="shared" si="4"/>
        <v>0</v>
      </c>
      <c r="AE22" s="48">
        <f t="shared" si="5"/>
        <v>0</v>
      </c>
      <c r="AF22" s="48">
        <f t="shared" si="6"/>
        <v>1075.317833333333</v>
      </c>
      <c r="AG22" s="49" t="s">
        <v>56</v>
      </c>
      <c r="AH22" s="49"/>
    </row>
    <row r="23" spans="2:34" s="73" customFormat="1" ht="15">
      <c r="B23" s="26">
        <v>19</v>
      </c>
      <c r="C23" s="74">
        <v>16116</v>
      </c>
      <c r="D23" s="27" t="s">
        <v>43</v>
      </c>
      <c r="E23" s="38">
        <v>1</v>
      </c>
      <c r="F23" s="51">
        <v>43389</v>
      </c>
      <c r="G23" s="38">
        <v>1</v>
      </c>
      <c r="H23" s="38">
        <v>1</v>
      </c>
      <c r="I23" s="38">
        <v>0</v>
      </c>
      <c r="J23" s="38">
        <v>1</v>
      </c>
      <c r="K23" s="38">
        <v>0</v>
      </c>
      <c r="L23" s="38">
        <v>4</v>
      </c>
      <c r="M23" s="38">
        <v>1</v>
      </c>
      <c r="N23" s="38">
        <v>1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42">
        <v>4500</v>
      </c>
      <c r="U23" s="42"/>
      <c r="V23" s="42">
        <f>6800-T23</f>
        <v>2300</v>
      </c>
      <c r="W23" s="42"/>
      <c r="X23" s="42"/>
      <c r="Y23" s="42"/>
      <c r="Z23" s="29">
        <f t="shared" si="0"/>
        <v>1137.5</v>
      </c>
      <c r="AA23" s="29">
        <f t="shared" si="1"/>
        <v>0</v>
      </c>
      <c r="AB23" s="29">
        <f t="shared" si="2"/>
        <v>0</v>
      </c>
      <c r="AC23" s="29">
        <f t="shared" si="3"/>
        <v>0</v>
      </c>
      <c r="AD23" s="29">
        <f t="shared" si="4"/>
        <v>0</v>
      </c>
      <c r="AE23" s="29">
        <f t="shared" si="5"/>
        <v>0</v>
      </c>
      <c r="AF23" s="29">
        <f t="shared" si="6"/>
        <v>1137.5</v>
      </c>
      <c r="AG23" s="77" t="s">
        <v>58</v>
      </c>
      <c r="AH23" s="38"/>
    </row>
    <row r="24" spans="1:34" s="20" customFormat="1" ht="18">
      <c r="A24" s="19"/>
      <c r="B24" s="26">
        <v>20</v>
      </c>
      <c r="C24" s="38">
        <v>16050</v>
      </c>
      <c r="D24" s="28" t="s">
        <v>33</v>
      </c>
      <c r="E24" s="28">
        <v>1</v>
      </c>
      <c r="F24" s="45">
        <v>43390</v>
      </c>
      <c r="G24" s="28">
        <v>1</v>
      </c>
      <c r="H24" s="28">
        <v>1</v>
      </c>
      <c r="I24" s="28">
        <v>0</v>
      </c>
      <c r="J24" s="28">
        <v>1</v>
      </c>
      <c r="K24" s="28">
        <v>0</v>
      </c>
      <c r="L24" s="28">
        <v>3</v>
      </c>
      <c r="M24" s="28">
        <v>1</v>
      </c>
      <c r="N24" s="28">
        <v>1</v>
      </c>
      <c r="O24" s="28">
        <v>1</v>
      </c>
      <c r="P24" s="28">
        <v>0</v>
      </c>
      <c r="Q24" s="28">
        <v>0</v>
      </c>
      <c r="R24" s="28">
        <v>1</v>
      </c>
      <c r="S24" s="28">
        <v>0</v>
      </c>
      <c r="T24" s="29">
        <v>4373.7</v>
      </c>
      <c r="U24" s="29"/>
      <c r="V24" s="29">
        <f>8007.54-T24</f>
        <v>3633.84</v>
      </c>
      <c r="W24" s="29"/>
      <c r="X24" s="29"/>
      <c r="Y24" s="29"/>
      <c r="Z24" s="29">
        <f t="shared" si="0"/>
        <v>1940.2300000000002</v>
      </c>
      <c r="AA24" s="29">
        <f t="shared" si="1"/>
        <v>582.0690000000001</v>
      </c>
      <c r="AB24" s="29">
        <f t="shared" si="2"/>
        <v>0</v>
      </c>
      <c r="AC24" s="29">
        <f t="shared" si="3"/>
        <v>194.02300000000002</v>
      </c>
      <c r="AD24" s="29">
        <f t="shared" si="4"/>
        <v>0</v>
      </c>
      <c r="AE24" s="29">
        <f t="shared" si="5"/>
        <v>0</v>
      </c>
      <c r="AF24" s="29">
        <f t="shared" si="6"/>
        <v>1164.138</v>
      </c>
      <c r="AG24" s="43" t="s">
        <v>38</v>
      </c>
      <c r="AH24" s="43"/>
    </row>
    <row r="25" spans="1:34" ht="18">
      <c r="A25" s="3">
        <v>4</v>
      </c>
      <c r="B25" s="26">
        <v>21</v>
      </c>
      <c r="C25" s="74">
        <v>16025</v>
      </c>
      <c r="D25" s="27" t="s">
        <v>33</v>
      </c>
      <c r="E25" s="28">
        <v>1</v>
      </c>
      <c r="F25" s="45">
        <v>43393</v>
      </c>
      <c r="G25" s="28">
        <v>1</v>
      </c>
      <c r="H25" s="28">
        <v>1</v>
      </c>
      <c r="I25" s="28">
        <v>0</v>
      </c>
      <c r="J25" s="28">
        <v>1</v>
      </c>
      <c r="K25" s="28">
        <v>0</v>
      </c>
      <c r="L25" s="28">
        <v>3</v>
      </c>
      <c r="M25" s="28">
        <v>1</v>
      </c>
      <c r="N25" s="28">
        <v>1</v>
      </c>
      <c r="O25" s="28">
        <v>0</v>
      </c>
      <c r="P25" s="28">
        <v>1</v>
      </c>
      <c r="Q25" s="28">
        <v>0</v>
      </c>
      <c r="R25" s="28">
        <v>0</v>
      </c>
      <c r="S25" s="28">
        <v>0</v>
      </c>
      <c r="T25" s="29">
        <v>7448.56</v>
      </c>
      <c r="U25" s="29"/>
      <c r="V25" s="29">
        <f>1.16+0.23</f>
        <v>1.39</v>
      </c>
      <c r="W25" s="29"/>
      <c r="X25" s="29"/>
      <c r="Y25" s="29"/>
      <c r="Z25" s="29">
        <f t="shared" si="0"/>
        <v>1241.89</v>
      </c>
      <c r="AA25" s="29">
        <f t="shared" si="1"/>
        <v>0</v>
      </c>
      <c r="AB25" s="29">
        <f t="shared" si="2"/>
        <v>0</v>
      </c>
      <c r="AC25" s="29">
        <f t="shared" si="3"/>
        <v>0</v>
      </c>
      <c r="AD25" s="29">
        <f t="shared" si="4"/>
        <v>0</v>
      </c>
      <c r="AE25" s="29">
        <f t="shared" si="5"/>
        <v>0</v>
      </c>
      <c r="AF25" s="29">
        <f t="shared" si="6"/>
        <v>1241.89</v>
      </c>
      <c r="AG25" s="46" t="s">
        <v>37</v>
      </c>
      <c r="AH25" s="46"/>
    </row>
    <row r="26" spans="1:34" s="20" customFormat="1" ht="18">
      <c r="A26" s="19">
        <v>35</v>
      </c>
      <c r="B26" s="26">
        <v>22</v>
      </c>
      <c r="C26" s="74">
        <v>16045</v>
      </c>
      <c r="D26" s="28" t="s">
        <v>33</v>
      </c>
      <c r="E26" s="28">
        <v>1</v>
      </c>
      <c r="F26" s="45">
        <v>43391</v>
      </c>
      <c r="G26" s="28">
        <v>1</v>
      </c>
      <c r="H26" s="28">
        <v>1</v>
      </c>
      <c r="I26" s="28">
        <v>0</v>
      </c>
      <c r="J26" s="28">
        <v>1</v>
      </c>
      <c r="K26" s="28">
        <v>0</v>
      </c>
      <c r="L26" s="28">
        <v>3</v>
      </c>
      <c r="M26" s="28">
        <v>1</v>
      </c>
      <c r="N26" s="28">
        <v>1</v>
      </c>
      <c r="O26" s="28">
        <v>0</v>
      </c>
      <c r="P26" s="28">
        <v>0</v>
      </c>
      <c r="Q26" s="28">
        <v>0</v>
      </c>
      <c r="R26" s="28">
        <v>1</v>
      </c>
      <c r="S26" s="28">
        <v>0</v>
      </c>
      <c r="T26" s="29">
        <f>1328.55+641.41</f>
        <v>1969.96</v>
      </c>
      <c r="U26" s="29"/>
      <c r="V26" s="29">
        <f>5136-T26</f>
        <v>3166.04</v>
      </c>
      <c r="W26" s="29"/>
      <c r="X26" s="29"/>
      <c r="Y26" s="29"/>
      <c r="Z26" s="29">
        <f t="shared" si="0"/>
        <v>1383.6733333333334</v>
      </c>
      <c r="AA26" s="29">
        <f t="shared" si="1"/>
        <v>0</v>
      </c>
      <c r="AB26" s="29">
        <f t="shared" si="2"/>
        <v>0</v>
      </c>
      <c r="AC26" s="29">
        <f t="shared" si="3"/>
        <v>138.36733333333333</v>
      </c>
      <c r="AD26" s="29">
        <f t="shared" si="4"/>
        <v>0</v>
      </c>
      <c r="AE26" s="29">
        <f t="shared" si="5"/>
        <v>0</v>
      </c>
      <c r="AF26" s="29">
        <f t="shared" si="6"/>
        <v>1245.306</v>
      </c>
      <c r="AG26" s="46" t="s">
        <v>39</v>
      </c>
      <c r="AH26" s="46"/>
    </row>
    <row r="27" spans="1:34" s="16" customFormat="1" ht="18">
      <c r="A27" s="15"/>
      <c r="B27" s="26">
        <v>23</v>
      </c>
      <c r="C27" s="74">
        <v>16135</v>
      </c>
      <c r="D27" s="27" t="s">
        <v>43</v>
      </c>
      <c r="E27" s="27">
        <v>1</v>
      </c>
      <c r="F27" s="40">
        <v>43391</v>
      </c>
      <c r="G27" s="27">
        <v>1</v>
      </c>
      <c r="H27" s="27">
        <v>1</v>
      </c>
      <c r="I27" s="27">
        <v>0</v>
      </c>
      <c r="J27" s="27">
        <v>1</v>
      </c>
      <c r="K27" s="28">
        <v>0</v>
      </c>
      <c r="L27" s="28">
        <v>4</v>
      </c>
      <c r="M27" s="28">
        <v>1</v>
      </c>
      <c r="N27" s="27">
        <v>1</v>
      </c>
      <c r="O27" s="27">
        <v>1</v>
      </c>
      <c r="P27" s="27">
        <v>0</v>
      </c>
      <c r="Q27" s="27">
        <v>1</v>
      </c>
      <c r="R27" s="27">
        <v>1</v>
      </c>
      <c r="S27" s="27">
        <v>0</v>
      </c>
      <c r="T27" s="29">
        <v>5768.15</v>
      </c>
      <c r="U27" s="29"/>
      <c r="V27" s="29">
        <f>11636.45-T27</f>
        <v>5868.300000000001</v>
      </c>
      <c r="W27" s="29"/>
      <c r="X27" s="29"/>
      <c r="Y27" s="29"/>
      <c r="Z27" s="29">
        <f t="shared" si="0"/>
        <v>2188.09375</v>
      </c>
      <c r="AA27" s="29">
        <f t="shared" si="1"/>
        <v>656.428125</v>
      </c>
      <c r="AB27" s="29">
        <f t="shared" si="2"/>
        <v>0</v>
      </c>
      <c r="AC27" s="29">
        <f t="shared" si="3"/>
        <v>218.80937500000002</v>
      </c>
      <c r="AD27" s="29">
        <f t="shared" si="4"/>
        <v>0</v>
      </c>
      <c r="AE27" s="29">
        <f t="shared" si="5"/>
        <v>0</v>
      </c>
      <c r="AF27" s="29">
        <f t="shared" si="6"/>
        <v>1312.85625</v>
      </c>
      <c r="AG27" s="43" t="s">
        <v>29</v>
      </c>
      <c r="AH27" s="43"/>
    </row>
    <row r="28" spans="1:34" s="18" customFormat="1" ht="18">
      <c r="A28" s="17"/>
      <c r="B28" s="26">
        <v>24</v>
      </c>
      <c r="C28" s="74">
        <v>16011</v>
      </c>
      <c r="D28" s="27" t="s">
        <v>43</v>
      </c>
      <c r="E28" s="27">
        <v>1</v>
      </c>
      <c r="F28" s="40">
        <v>43381</v>
      </c>
      <c r="G28" s="27">
        <v>1</v>
      </c>
      <c r="H28" s="27">
        <v>1</v>
      </c>
      <c r="I28" s="28">
        <v>1</v>
      </c>
      <c r="J28" s="27">
        <v>1</v>
      </c>
      <c r="K28" s="28">
        <v>0</v>
      </c>
      <c r="L28" s="28">
        <v>2</v>
      </c>
      <c r="M28" s="28">
        <v>1</v>
      </c>
      <c r="N28" s="27">
        <v>1</v>
      </c>
      <c r="O28" s="27">
        <v>0</v>
      </c>
      <c r="P28" s="27">
        <v>0</v>
      </c>
      <c r="Q28" s="27">
        <v>0</v>
      </c>
      <c r="R28" s="27">
        <v>1</v>
      </c>
      <c r="S28" s="27">
        <v>0</v>
      </c>
      <c r="T28" s="29">
        <v>600</v>
      </c>
      <c r="U28" s="29"/>
      <c r="V28" s="29">
        <f>4820-T28</f>
        <v>4220</v>
      </c>
      <c r="W28" s="29"/>
      <c r="X28" s="29"/>
      <c r="Y28" s="29"/>
      <c r="Z28" s="29">
        <f t="shared" si="0"/>
        <v>2260</v>
      </c>
      <c r="AA28" s="29">
        <f t="shared" si="1"/>
        <v>0</v>
      </c>
      <c r="AB28" s="29">
        <f t="shared" si="2"/>
        <v>0</v>
      </c>
      <c r="AC28" s="29">
        <f t="shared" si="3"/>
        <v>226</v>
      </c>
      <c r="AD28" s="29">
        <f t="shared" si="4"/>
        <v>0</v>
      </c>
      <c r="AE28" s="29">
        <f t="shared" si="5"/>
        <v>678</v>
      </c>
      <c r="AF28" s="29">
        <f t="shared" si="6"/>
        <v>1356</v>
      </c>
      <c r="AG28" s="43" t="s">
        <v>51</v>
      </c>
      <c r="AH28" s="43"/>
    </row>
    <row r="29" spans="1:34" s="25" customFormat="1" ht="18.75" customHeight="1">
      <c r="A29" s="24">
        <v>107</v>
      </c>
      <c r="B29" s="26">
        <v>25</v>
      </c>
      <c r="C29" s="74">
        <v>15977</v>
      </c>
      <c r="D29" s="27" t="s">
        <v>43</v>
      </c>
      <c r="E29" s="27">
        <v>1</v>
      </c>
      <c r="F29" s="40">
        <v>43384</v>
      </c>
      <c r="G29" s="28">
        <v>1</v>
      </c>
      <c r="H29" s="27">
        <v>1</v>
      </c>
      <c r="I29" s="27">
        <v>0</v>
      </c>
      <c r="J29" s="27">
        <v>1</v>
      </c>
      <c r="K29" s="28">
        <v>0</v>
      </c>
      <c r="L29" s="28">
        <v>4</v>
      </c>
      <c r="M29" s="27">
        <v>1</v>
      </c>
      <c r="N29" s="27">
        <v>1</v>
      </c>
      <c r="O29" s="27">
        <v>1</v>
      </c>
      <c r="P29" s="27">
        <v>0</v>
      </c>
      <c r="Q29" s="27">
        <v>0</v>
      </c>
      <c r="R29" s="27">
        <v>0</v>
      </c>
      <c r="S29" s="27">
        <v>0</v>
      </c>
      <c r="T29" s="42"/>
      <c r="U29" s="42"/>
      <c r="V29" s="42">
        <f>6903.71+1345.52</f>
        <v>8249.23</v>
      </c>
      <c r="W29" s="42"/>
      <c r="X29" s="42"/>
      <c r="Y29" s="42"/>
      <c r="Z29" s="29">
        <f t="shared" si="0"/>
        <v>2062.3075</v>
      </c>
      <c r="AA29" s="29">
        <f t="shared" si="1"/>
        <v>618.69225</v>
      </c>
      <c r="AB29" s="29">
        <f t="shared" si="2"/>
        <v>0</v>
      </c>
      <c r="AC29" s="29">
        <f t="shared" si="3"/>
        <v>0</v>
      </c>
      <c r="AD29" s="29">
        <f t="shared" si="4"/>
        <v>0</v>
      </c>
      <c r="AE29" s="29">
        <f t="shared" si="5"/>
        <v>0</v>
      </c>
      <c r="AF29" s="29">
        <f t="shared" si="6"/>
        <v>1443.6152499999998</v>
      </c>
      <c r="AG29" s="43" t="s">
        <v>31</v>
      </c>
      <c r="AH29" s="43"/>
    </row>
    <row r="30" spans="1:34" ht="18">
      <c r="A30" s="8"/>
      <c r="B30" s="26">
        <v>26</v>
      </c>
      <c r="C30" s="74">
        <v>16173</v>
      </c>
      <c r="D30" s="27" t="s">
        <v>43</v>
      </c>
      <c r="E30" s="27">
        <v>1</v>
      </c>
      <c r="F30" s="40">
        <v>43395</v>
      </c>
      <c r="G30" s="28">
        <v>1</v>
      </c>
      <c r="H30" s="27">
        <v>1</v>
      </c>
      <c r="I30" s="27">
        <v>0</v>
      </c>
      <c r="J30" s="27">
        <v>1</v>
      </c>
      <c r="K30" s="28">
        <v>0</v>
      </c>
      <c r="L30" s="28">
        <v>5</v>
      </c>
      <c r="M30" s="27">
        <v>1</v>
      </c>
      <c r="N30" s="27">
        <v>1</v>
      </c>
      <c r="O30" s="27">
        <v>0</v>
      </c>
      <c r="P30" s="27">
        <v>0</v>
      </c>
      <c r="Q30" s="27">
        <v>1</v>
      </c>
      <c r="R30" s="27">
        <v>0</v>
      </c>
      <c r="S30" s="27">
        <v>0</v>
      </c>
      <c r="T30" s="42">
        <v>15011.41</v>
      </c>
      <c r="U30" s="42"/>
      <c r="V30" s="42"/>
      <c r="W30" s="42"/>
      <c r="X30" s="42"/>
      <c r="Y30" s="42"/>
      <c r="Z30" s="29">
        <f>((T30*50%+U30*85%+V30)/L30)+W30</f>
        <v>1501.141</v>
      </c>
      <c r="AA30" s="29">
        <f>IF(O30=1,Z30*30%,0)</f>
        <v>0</v>
      </c>
      <c r="AB30" s="29">
        <f>IF(K30=1,Z30*20%,0)</f>
        <v>0</v>
      </c>
      <c r="AC30" s="29">
        <f>IF(R30=1,Z30*10%,0)</f>
        <v>0</v>
      </c>
      <c r="AD30" s="29">
        <f>IF(S30=1,Z30*30%,0)</f>
        <v>0</v>
      </c>
      <c r="AE30" s="29">
        <f>IF(I30=1,Z30*30%,0)</f>
        <v>0</v>
      </c>
      <c r="AF30" s="29">
        <f>Z30-AA30-AB30-AC30-AD30-AE30</f>
        <v>1501.141</v>
      </c>
      <c r="AG30" s="43" t="s">
        <v>63</v>
      </c>
      <c r="AH30" s="43"/>
    </row>
    <row r="31" spans="1:34" s="20" customFormat="1" ht="18">
      <c r="A31" s="19"/>
      <c r="B31" s="26">
        <v>27</v>
      </c>
      <c r="C31" s="74">
        <v>16086</v>
      </c>
      <c r="D31" s="27" t="s">
        <v>43</v>
      </c>
      <c r="E31" s="27">
        <v>1</v>
      </c>
      <c r="F31" s="40">
        <v>43385</v>
      </c>
      <c r="G31" s="28">
        <v>1</v>
      </c>
      <c r="H31" s="27">
        <v>1</v>
      </c>
      <c r="I31" s="27">
        <v>1</v>
      </c>
      <c r="J31" s="27">
        <v>1</v>
      </c>
      <c r="K31" s="28">
        <v>0</v>
      </c>
      <c r="L31" s="28">
        <v>4</v>
      </c>
      <c r="M31" s="27">
        <v>1</v>
      </c>
      <c r="N31" s="27">
        <v>1</v>
      </c>
      <c r="O31" s="27">
        <v>0</v>
      </c>
      <c r="P31" s="27">
        <v>1</v>
      </c>
      <c r="Q31" s="27">
        <v>0</v>
      </c>
      <c r="R31" s="27">
        <v>0</v>
      </c>
      <c r="S31" s="27">
        <v>0</v>
      </c>
      <c r="T31" s="42">
        <v>600</v>
      </c>
      <c r="U31" s="42"/>
      <c r="V31" s="42">
        <f>6440+2500-T31</f>
        <v>8340</v>
      </c>
      <c r="W31" s="42"/>
      <c r="X31" s="42"/>
      <c r="Y31" s="42"/>
      <c r="Z31" s="29">
        <f t="shared" si="0"/>
        <v>2160</v>
      </c>
      <c r="AA31" s="29">
        <f t="shared" si="1"/>
        <v>0</v>
      </c>
      <c r="AB31" s="29">
        <f t="shared" si="2"/>
        <v>0</v>
      </c>
      <c r="AC31" s="29">
        <f t="shared" si="3"/>
        <v>0</v>
      </c>
      <c r="AD31" s="29">
        <f t="shared" si="4"/>
        <v>0</v>
      </c>
      <c r="AE31" s="29">
        <f t="shared" si="5"/>
        <v>648</v>
      </c>
      <c r="AF31" s="29">
        <f t="shared" si="6"/>
        <v>1512</v>
      </c>
      <c r="AG31" s="46" t="s">
        <v>41</v>
      </c>
      <c r="AH31" s="46"/>
    </row>
    <row r="32" spans="1:34" s="20" customFormat="1" ht="18">
      <c r="A32" s="19">
        <v>194</v>
      </c>
      <c r="B32" s="26">
        <v>28</v>
      </c>
      <c r="C32" s="74">
        <v>16093</v>
      </c>
      <c r="D32" s="27" t="s">
        <v>43</v>
      </c>
      <c r="E32" s="27">
        <v>1</v>
      </c>
      <c r="F32" s="40">
        <v>43381</v>
      </c>
      <c r="G32" s="28">
        <v>1</v>
      </c>
      <c r="H32" s="27">
        <v>1</v>
      </c>
      <c r="I32" s="27">
        <v>0</v>
      </c>
      <c r="J32" s="27">
        <v>1</v>
      </c>
      <c r="K32" s="28">
        <v>0</v>
      </c>
      <c r="L32" s="28">
        <v>5</v>
      </c>
      <c r="M32" s="27">
        <v>1</v>
      </c>
      <c r="N32" s="27">
        <v>1</v>
      </c>
      <c r="O32" s="27">
        <v>0</v>
      </c>
      <c r="P32" s="27">
        <v>1</v>
      </c>
      <c r="Q32" s="27">
        <v>0</v>
      </c>
      <c r="R32" s="27">
        <v>0</v>
      </c>
      <c r="S32" s="27">
        <v>0</v>
      </c>
      <c r="T32" s="42">
        <v>16030.67</v>
      </c>
      <c r="U32" s="42"/>
      <c r="V32" s="42"/>
      <c r="W32" s="42"/>
      <c r="X32" s="42"/>
      <c r="Y32" s="42"/>
      <c r="Z32" s="29">
        <f t="shared" si="0"/>
        <v>1603.067</v>
      </c>
      <c r="AA32" s="29">
        <f t="shared" si="1"/>
        <v>0</v>
      </c>
      <c r="AB32" s="29">
        <f t="shared" si="2"/>
        <v>0</v>
      </c>
      <c r="AC32" s="29">
        <f t="shared" si="3"/>
        <v>0</v>
      </c>
      <c r="AD32" s="29">
        <f t="shared" si="4"/>
        <v>0</v>
      </c>
      <c r="AE32" s="29">
        <f t="shared" si="5"/>
        <v>0</v>
      </c>
      <c r="AF32" s="29">
        <f t="shared" si="6"/>
        <v>1603.067</v>
      </c>
      <c r="AG32" s="46" t="s">
        <v>49</v>
      </c>
      <c r="AH32" s="46"/>
    </row>
    <row r="33" spans="1:34" s="18" customFormat="1" ht="18">
      <c r="A33" s="17"/>
      <c r="B33" s="26">
        <v>29</v>
      </c>
      <c r="C33" s="74">
        <v>2798</v>
      </c>
      <c r="D33" s="27" t="s">
        <v>28</v>
      </c>
      <c r="E33" s="27">
        <v>1</v>
      </c>
      <c r="F33" s="40">
        <v>43388</v>
      </c>
      <c r="G33" s="28">
        <v>1</v>
      </c>
      <c r="H33" s="27">
        <v>1</v>
      </c>
      <c r="I33" s="27">
        <v>0</v>
      </c>
      <c r="J33" s="27">
        <v>1</v>
      </c>
      <c r="K33" s="28">
        <v>0</v>
      </c>
      <c r="L33" s="28">
        <v>3</v>
      </c>
      <c r="M33" s="27">
        <v>1</v>
      </c>
      <c r="N33" s="27">
        <v>1</v>
      </c>
      <c r="O33" s="27">
        <v>0</v>
      </c>
      <c r="P33" s="27">
        <v>0</v>
      </c>
      <c r="Q33" s="27">
        <v>0</v>
      </c>
      <c r="R33" s="27">
        <v>0</v>
      </c>
      <c r="S33" s="27">
        <v>1</v>
      </c>
      <c r="T33" s="42">
        <v>14.96</v>
      </c>
      <c r="U33" s="42"/>
      <c r="V33" s="42">
        <f>6525+514.3-T33</f>
        <v>7024.34</v>
      </c>
      <c r="W33" s="42"/>
      <c r="X33" s="42"/>
      <c r="Y33" s="42"/>
      <c r="Z33" s="29">
        <f t="shared" si="0"/>
        <v>2343.94</v>
      </c>
      <c r="AA33" s="29">
        <f t="shared" si="1"/>
        <v>0</v>
      </c>
      <c r="AB33" s="29">
        <f t="shared" si="2"/>
        <v>0</v>
      </c>
      <c r="AC33" s="29">
        <f t="shared" si="3"/>
        <v>0</v>
      </c>
      <c r="AD33" s="29">
        <f t="shared" si="4"/>
        <v>703.182</v>
      </c>
      <c r="AE33" s="29">
        <f t="shared" si="5"/>
        <v>0</v>
      </c>
      <c r="AF33" s="29">
        <f t="shared" si="6"/>
        <v>1640.758</v>
      </c>
      <c r="AG33" s="43" t="s">
        <v>29</v>
      </c>
      <c r="AH33" s="43"/>
    </row>
    <row r="34" spans="1:34" s="20" customFormat="1" ht="18">
      <c r="A34" s="19">
        <v>145</v>
      </c>
      <c r="B34" s="26">
        <v>30</v>
      </c>
      <c r="C34" s="74">
        <v>16097</v>
      </c>
      <c r="D34" s="27" t="s">
        <v>43</v>
      </c>
      <c r="E34" s="27">
        <v>1</v>
      </c>
      <c r="F34" s="40">
        <v>43389</v>
      </c>
      <c r="G34" s="28">
        <v>1</v>
      </c>
      <c r="H34" s="27">
        <v>1</v>
      </c>
      <c r="I34" s="27">
        <v>0</v>
      </c>
      <c r="J34" s="27">
        <v>1</v>
      </c>
      <c r="K34" s="28">
        <v>0</v>
      </c>
      <c r="L34" s="28">
        <v>4</v>
      </c>
      <c r="M34" s="27">
        <v>1</v>
      </c>
      <c r="N34" s="27">
        <v>1</v>
      </c>
      <c r="O34" s="27">
        <v>1</v>
      </c>
      <c r="P34" s="27">
        <v>0</v>
      </c>
      <c r="Q34" s="27">
        <v>0</v>
      </c>
      <c r="R34" s="27">
        <v>0</v>
      </c>
      <c r="S34" s="27">
        <v>0</v>
      </c>
      <c r="T34" s="42">
        <f>7644.5+11117.39</f>
        <v>18761.89</v>
      </c>
      <c r="U34" s="42"/>
      <c r="V34" s="42">
        <v>0.31</v>
      </c>
      <c r="W34" s="42"/>
      <c r="X34" s="42"/>
      <c r="Y34" s="42"/>
      <c r="Z34" s="29">
        <f t="shared" si="0"/>
        <v>2345.31375</v>
      </c>
      <c r="AA34" s="29">
        <f t="shared" si="1"/>
        <v>703.594125</v>
      </c>
      <c r="AB34" s="29">
        <f t="shared" si="2"/>
        <v>0</v>
      </c>
      <c r="AC34" s="29">
        <f t="shared" si="3"/>
        <v>0</v>
      </c>
      <c r="AD34" s="29">
        <f t="shared" si="4"/>
        <v>0</v>
      </c>
      <c r="AE34" s="29">
        <f t="shared" si="5"/>
        <v>0</v>
      </c>
      <c r="AF34" s="29">
        <f t="shared" si="6"/>
        <v>1641.7196249999997</v>
      </c>
      <c r="AG34" s="43" t="s">
        <v>34</v>
      </c>
      <c r="AH34" s="43"/>
    </row>
    <row r="35" spans="1:34" s="22" customFormat="1" ht="18">
      <c r="A35" s="21"/>
      <c r="B35" s="26">
        <v>31</v>
      </c>
      <c r="C35" s="74">
        <v>15994</v>
      </c>
      <c r="D35" s="27" t="s">
        <v>43</v>
      </c>
      <c r="E35" s="27">
        <v>1</v>
      </c>
      <c r="F35" s="40">
        <v>43383</v>
      </c>
      <c r="G35" s="28">
        <v>1</v>
      </c>
      <c r="H35" s="27">
        <v>1</v>
      </c>
      <c r="I35" s="27">
        <v>0</v>
      </c>
      <c r="J35" s="27">
        <v>1</v>
      </c>
      <c r="K35" s="28">
        <v>0</v>
      </c>
      <c r="L35" s="28">
        <v>4</v>
      </c>
      <c r="M35" s="27">
        <v>1</v>
      </c>
      <c r="N35" s="27">
        <v>1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42">
        <v>13037.02</v>
      </c>
      <c r="U35" s="42">
        <v>273.79</v>
      </c>
      <c r="V35" s="42">
        <v>5.21</v>
      </c>
      <c r="W35" s="42"/>
      <c r="X35" s="42"/>
      <c r="Y35" s="42"/>
      <c r="Z35" s="29">
        <f t="shared" si="0"/>
        <v>1689.110375</v>
      </c>
      <c r="AA35" s="29">
        <f t="shared" si="1"/>
        <v>0</v>
      </c>
      <c r="AB35" s="29">
        <f t="shared" si="2"/>
        <v>0</v>
      </c>
      <c r="AC35" s="29">
        <f t="shared" si="3"/>
        <v>0</v>
      </c>
      <c r="AD35" s="29">
        <f t="shared" si="4"/>
        <v>0</v>
      </c>
      <c r="AE35" s="29">
        <f t="shared" si="5"/>
        <v>0</v>
      </c>
      <c r="AF35" s="29">
        <f t="shared" si="6"/>
        <v>1689.110375</v>
      </c>
      <c r="AG35" s="43" t="s">
        <v>34</v>
      </c>
      <c r="AH35" s="43"/>
    </row>
    <row r="36" spans="1:34" s="18" customFormat="1" ht="18">
      <c r="A36" s="17"/>
      <c r="B36" s="26">
        <v>32</v>
      </c>
      <c r="C36" s="74">
        <v>16149</v>
      </c>
      <c r="D36" s="27" t="s">
        <v>43</v>
      </c>
      <c r="E36" s="27">
        <v>1</v>
      </c>
      <c r="F36" s="40">
        <v>43395</v>
      </c>
      <c r="G36" s="28">
        <v>1</v>
      </c>
      <c r="H36" s="27">
        <v>1</v>
      </c>
      <c r="I36" s="27">
        <v>0</v>
      </c>
      <c r="J36" s="27">
        <v>1</v>
      </c>
      <c r="K36" s="28">
        <v>0</v>
      </c>
      <c r="L36" s="28">
        <v>4</v>
      </c>
      <c r="M36" s="27">
        <v>1</v>
      </c>
      <c r="N36" s="27">
        <v>1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42">
        <f>251.36+13265.6</f>
        <v>13516.960000000001</v>
      </c>
      <c r="U36" s="42"/>
      <c r="V36" s="42">
        <f>251.37+13265.88-T36</f>
        <v>0.2899999999990541</v>
      </c>
      <c r="W36" s="42"/>
      <c r="X36" s="42"/>
      <c r="Y36" s="42"/>
      <c r="Z36" s="29">
        <f t="shared" si="0"/>
        <v>1689.6924999999999</v>
      </c>
      <c r="AA36" s="29">
        <f t="shared" si="1"/>
        <v>0</v>
      </c>
      <c r="AB36" s="29">
        <f t="shared" si="2"/>
        <v>0</v>
      </c>
      <c r="AC36" s="29">
        <f t="shared" si="3"/>
        <v>0</v>
      </c>
      <c r="AD36" s="29">
        <f t="shared" si="4"/>
        <v>0</v>
      </c>
      <c r="AE36" s="29">
        <f t="shared" si="5"/>
        <v>0</v>
      </c>
      <c r="AF36" s="29">
        <f t="shared" si="6"/>
        <v>1689.6924999999999</v>
      </c>
      <c r="AG36" s="43" t="s">
        <v>34</v>
      </c>
      <c r="AH36" s="43"/>
    </row>
    <row r="37" spans="1:34" ht="18">
      <c r="A37" s="3">
        <v>97</v>
      </c>
      <c r="B37" s="26">
        <v>33</v>
      </c>
      <c r="C37" s="74">
        <v>16015</v>
      </c>
      <c r="D37" s="27" t="s">
        <v>33</v>
      </c>
      <c r="E37" s="27">
        <v>1</v>
      </c>
      <c r="F37" s="40">
        <v>43395</v>
      </c>
      <c r="G37" s="28">
        <v>1</v>
      </c>
      <c r="H37" s="27">
        <v>1</v>
      </c>
      <c r="I37" s="27">
        <v>0</v>
      </c>
      <c r="J37" s="27">
        <v>1</v>
      </c>
      <c r="K37" s="28">
        <v>0</v>
      </c>
      <c r="L37" s="28">
        <v>4</v>
      </c>
      <c r="M37" s="27">
        <v>1</v>
      </c>
      <c r="N37" s="27">
        <v>1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42"/>
      <c r="U37" s="42">
        <v>1819.88</v>
      </c>
      <c r="V37" s="42">
        <f>7227.52-U37</f>
        <v>5407.64</v>
      </c>
      <c r="W37" s="42"/>
      <c r="X37" s="42"/>
      <c r="Y37" s="42"/>
      <c r="Z37" s="29">
        <f t="shared" si="0"/>
        <v>1738.6345000000001</v>
      </c>
      <c r="AA37" s="29">
        <f t="shared" si="1"/>
        <v>0</v>
      </c>
      <c r="AB37" s="29">
        <f t="shared" si="2"/>
        <v>0</v>
      </c>
      <c r="AC37" s="29">
        <f t="shared" si="3"/>
        <v>0</v>
      </c>
      <c r="AD37" s="29">
        <f t="shared" si="4"/>
        <v>0</v>
      </c>
      <c r="AE37" s="29">
        <f t="shared" si="5"/>
        <v>0</v>
      </c>
      <c r="AF37" s="29">
        <f t="shared" si="6"/>
        <v>1738.6345000000001</v>
      </c>
      <c r="AG37" s="43" t="s">
        <v>41</v>
      </c>
      <c r="AH37" s="43"/>
    </row>
    <row r="38" spans="1:34" s="20" customFormat="1" ht="18">
      <c r="A38" s="19"/>
      <c r="B38" s="26">
        <v>34</v>
      </c>
      <c r="C38" s="74">
        <v>15957</v>
      </c>
      <c r="D38" s="27" t="s">
        <v>43</v>
      </c>
      <c r="E38" s="27">
        <v>1</v>
      </c>
      <c r="F38" s="40">
        <v>43382</v>
      </c>
      <c r="G38" s="28">
        <v>1</v>
      </c>
      <c r="H38" s="27">
        <v>1</v>
      </c>
      <c r="I38" s="27">
        <v>0</v>
      </c>
      <c r="J38" s="27">
        <v>1</v>
      </c>
      <c r="K38" s="28">
        <v>0</v>
      </c>
      <c r="L38" s="28">
        <v>4</v>
      </c>
      <c r="M38" s="27">
        <v>1</v>
      </c>
      <c r="N38" s="27">
        <v>1</v>
      </c>
      <c r="O38" s="27">
        <v>1</v>
      </c>
      <c r="P38" s="27">
        <v>0</v>
      </c>
      <c r="Q38" s="27">
        <v>1</v>
      </c>
      <c r="R38" s="27">
        <v>1</v>
      </c>
      <c r="S38" s="27">
        <v>0</v>
      </c>
      <c r="T38" s="42">
        <v>23555.68</v>
      </c>
      <c r="U38" s="42"/>
      <c r="V38" s="42">
        <v>18.25</v>
      </c>
      <c r="W38" s="42"/>
      <c r="X38" s="42"/>
      <c r="Y38" s="42"/>
      <c r="Z38" s="29">
        <f aca="true" t="shared" si="7" ref="Z38:Z68">((T38*50%+U38*85%+V38)/L38)+W38</f>
        <v>2949.0225</v>
      </c>
      <c r="AA38" s="29">
        <f aca="true" t="shared" si="8" ref="AA38:AA68">IF(O38=1,Z38*30%,0)</f>
        <v>884.7067499999999</v>
      </c>
      <c r="AB38" s="29">
        <f aca="true" t="shared" si="9" ref="AB38:AB68">IF(K38=1,Z38*20%,0)</f>
        <v>0</v>
      </c>
      <c r="AC38" s="29">
        <f aca="true" t="shared" si="10" ref="AC38:AC68">IF(R38=1,Z38*10%,0)</f>
        <v>294.90225000000004</v>
      </c>
      <c r="AD38" s="29">
        <f aca="true" t="shared" si="11" ref="AD38:AD68">IF(S38=1,Z38*30%,0)</f>
        <v>0</v>
      </c>
      <c r="AE38" s="29">
        <f aca="true" t="shared" si="12" ref="AE38:AE68">IF(I38=1,Z38*30%,0)</f>
        <v>0</v>
      </c>
      <c r="AF38" s="29">
        <f aca="true" t="shared" si="13" ref="AF38:AF68">Z38-AA38-AB38-AC38-AD38-AE38</f>
        <v>1769.4135</v>
      </c>
      <c r="AG38" s="46" t="s">
        <v>49</v>
      </c>
      <c r="AH38" s="46"/>
    </row>
    <row r="39" spans="1:34" ht="18">
      <c r="A39" s="3">
        <v>65</v>
      </c>
      <c r="B39" s="26">
        <v>35</v>
      </c>
      <c r="C39" s="74">
        <v>16027</v>
      </c>
      <c r="D39" s="27" t="s">
        <v>33</v>
      </c>
      <c r="E39" s="27">
        <v>1</v>
      </c>
      <c r="F39" s="40">
        <v>43386</v>
      </c>
      <c r="G39" s="27">
        <v>1</v>
      </c>
      <c r="H39" s="27">
        <v>1</v>
      </c>
      <c r="I39" s="27">
        <v>0</v>
      </c>
      <c r="J39" s="27">
        <v>1</v>
      </c>
      <c r="K39" s="28">
        <v>0</v>
      </c>
      <c r="L39" s="28">
        <v>3</v>
      </c>
      <c r="M39" s="28">
        <v>1</v>
      </c>
      <c r="N39" s="27">
        <v>1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9">
        <v>10785.84</v>
      </c>
      <c r="U39" s="29"/>
      <c r="V39" s="29"/>
      <c r="W39" s="29"/>
      <c r="X39" s="29"/>
      <c r="Y39" s="29"/>
      <c r="Z39" s="29">
        <f t="shared" si="7"/>
        <v>1797.64</v>
      </c>
      <c r="AA39" s="29">
        <f t="shared" si="8"/>
        <v>0</v>
      </c>
      <c r="AB39" s="29">
        <f t="shared" si="9"/>
        <v>0</v>
      </c>
      <c r="AC39" s="29">
        <f t="shared" si="10"/>
        <v>0</v>
      </c>
      <c r="AD39" s="29">
        <f t="shared" si="11"/>
        <v>0</v>
      </c>
      <c r="AE39" s="29">
        <f t="shared" si="12"/>
        <v>0</v>
      </c>
      <c r="AF39" s="29">
        <f t="shared" si="13"/>
        <v>1797.64</v>
      </c>
      <c r="AG39" s="43" t="s">
        <v>42</v>
      </c>
      <c r="AH39" s="43"/>
    </row>
    <row r="40" spans="1:34" s="23" customFormat="1" ht="18">
      <c r="A40" s="19"/>
      <c r="B40" s="26">
        <v>36</v>
      </c>
      <c r="C40" s="74">
        <v>2792</v>
      </c>
      <c r="D40" s="38" t="s">
        <v>28</v>
      </c>
      <c r="E40" s="27">
        <v>1</v>
      </c>
      <c r="F40" s="40">
        <v>43395</v>
      </c>
      <c r="G40" s="47">
        <v>1</v>
      </c>
      <c r="H40" s="38">
        <v>1</v>
      </c>
      <c r="I40" s="38">
        <v>0</v>
      </c>
      <c r="J40" s="38">
        <v>1</v>
      </c>
      <c r="K40" s="47">
        <v>0</v>
      </c>
      <c r="L40" s="47">
        <v>4</v>
      </c>
      <c r="M40" s="38">
        <v>1</v>
      </c>
      <c r="N40" s="38">
        <v>1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50">
        <f>4231.71+1399.68</f>
        <v>5631.39</v>
      </c>
      <c r="U40" s="50">
        <v>2047.48</v>
      </c>
      <c r="V40" s="50">
        <f>5126.25+5633.79-T40-U40</f>
        <v>3081.1700000000005</v>
      </c>
      <c r="W40" s="50"/>
      <c r="X40" s="50"/>
      <c r="Y40" s="50"/>
      <c r="Z40" s="48">
        <f t="shared" si="7"/>
        <v>1909.30575</v>
      </c>
      <c r="AA40" s="48">
        <f t="shared" si="8"/>
        <v>0</v>
      </c>
      <c r="AB40" s="48">
        <f t="shared" si="9"/>
        <v>0</v>
      </c>
      <c r="AC40" s="48">
        <f t="shared" si="10"/>
        <v>0</v>
      </c>
      <c r="AD40" s="48">
        <f t="shared" si="11"/>
        <v>0</v>
      </c>
      <c r="AE40" s="48">
        <f t="shared" si="12"/>
        <v>0</v>
      </c>
      <c r="AF40" s="48">
        <f t="shared" si="13"/>
        <v>1909.30575</v>
      </c>
      <c r="AG40" s="49" t="s">
        <v>45</v>
      </c>
      <c r="AH40" s="49"/>
    </row>
    <row r="41" spans="1:34" s="20" customFormat="1" ht="18">
      <c r="A41" s="19"/>
      <c r="B41" s="26">
        <v>37</v>
      </c>
      <c r="C41" s="74">
        <v>16023</v>
      </c>
      <c r="D41" s="27" t="s">
        <v>43</v>
      </c>
      <c r="E41" s="38">
        <v>1</v>
      </c>
      <c r="F41" s="51">
        <v>43390</v>
      </c>
      <c r="G41" s="38">
        <v>1</v>
      </c>
      <c r="H41" s="38">
        <v>1</v>
      </c>
      <c r="I41" s="38">
        <v>0</v>
      </c>
      <c r="J41" s="38">
        <v>1</v>
      </c>
      <c r="K41" s="47">
        <v>0</v>
      </c>
      <c r="L41" s="47">
        <v>3</v>
      </c>
      <c r="M41" s="47">
        <v>1</v>
      </c>
      <c r="N41" s="38">
        <v>1</v>
      </c>
      <c r="O41" s="38">
        <v>0</v>
      </c>
      <c r="P41" s="38">
        <v>0</v>
      </c>
      <c r="Q41" s="38">
        <v>1</v>
      </c>
      <c r="R41" s="38">
        <v>0</v>
      </c>
      <c r="S41" s="38">
        <v>0</v>
      </c>
      <c r="T41" s="48">
        <v>11453.71</v>
      </c>
      <c r="U41" s="48"/>
      <c r="V41" s="48">
        <v>13.38</v>
      </c>
      <c r="W41" s="48"/>
      <c r="X41" s="48"/>
      <c r="Y41" s="48"/>
      <c r="Z41" s="48">
        <f t="shared" si="7"/>
        <v>1913.4116666666666</v>
      </c>
      <c r="AA41" s="48">
        <f t="shared" si="8"/>
        <v>0</v>
      </c>
      <c r="AB41" s="48">
        <f t="shared" si="9"/>
        <v>0</v>
      </c>
      <c r="AC41" s="48">
        <f t="shared" si="10"/>
        <v>0</v>
      </c>
      <c r="AD41" s="48">
        <f t="shared" si="11"/>
        <v>0</v>
      </c>
      <c r="AE41" s="48">
        <f t="shared" si="12"/>
        <v>0</v>
      </c>
      <c r="AF41" s="48">
        <f t="shared" si="13"/>
        <v>1913.4116666666666</v>
      </c>
      <c r="AG41" s="49" t="s">
        <v>49</v>
      </c>
      <c r="AH41" s="49"/>
    </row>
    <row r="42" spans="1:34" s="65" customFormat="1" ht="18">
      <c r="A42" s="64">
        <v>148</v>
      </c>
      <c r="B42" s="26">
        <v>38</v>
      </c>
      <c r="C42" s="55">
        <v>16091</v>
      </c>
      <c r="D42" s="27" t="s">
        <v>43</v>
      </c>
      <c r="E42" s="28">
        <v>1</v>
      </c>
      <c r="F42" s="45">
        <v>43386</v>
      </c>
      <c r="G42" s="28">
        <v>1</v>
      </c>
      <c r="H42" s="28">
        <v>1</v>
      </c>
      <c r="I42" s="28">
        <v>0</v>
      </c>
      <c r="J42" s="28">
        <v>1</v>
      </c>
      <c r="K42" s="28">
        <v>0</v>
      </c>
      <c r="L42" s="28">
        <v>4</v>
      </c>
      <c r="M42" s="28">
        <v>1</v>
      </c>
      <c r="N42" s="28">
        <v>1</v>
      </c>
      <c r="O42" s="28">
        <v>1</v>
      </c>
      <c r="P42" s="28">
        <v>0</v>
      </c>
      <c r="Q42" s="28">
        <v>0</v>
      </c>
      <c r="R42" s="28">
        <v>0</v>
      </c>
      <c r="S42" s="28">
        <v>0</v>
      </c>
      <c r="T42" s="29">
        <v>10212.34</v>
      </c>
      <c r="U42" s="29">
        <v>6168.12</v>
      </c>
      <c r="V42" s="29">
        <f>6784.27+10213.68-T42-U42</f>
        <v>617.4900000000007</v>
      </c>
      <c r="W42" s="29"/>
      <c r="X42" s="29"/>
      <c r="Y42" s="29"/>
      <c r="Z42" s="29">
        <f>((T42*50%+U42*85%+V42)/L42)+W42</f>
        <v>2741.6405000000004</v>
      </c>
      <c r="AA42" s="29">
        <f>IF(O42=1,Z42*30%,0)</f>
        <v>822.4921500000002</v>
      </c>
      <c r="AB42" s="29">
        <f>IF(K42=1,Z42*20%,0)</f>
        <v>0</v>
      </c>
      <c r="AC42" s="29">
        <f>IF(R42=1,Z42*10%,0)</f>
        <v>0</v>
      </c>
      <c r="AD42" s="29">
        <f>IF(S42=1,Z42*30%,0)</f>
        <v>0</v>
      </c>
      <c r="AE42" s="29">
        <f>IF(I42=1,Z42*30%,0)</f>
        <v>0</v>
      </c>
      <c r="AF42" s="29">
        <f>Z42-AA42-AB42-AC42-AD42-AE42</f>
        <v>1919.1483500000004</v>
      </c>
      <c r="AG42" s="43" t="s">
        <v>62</v>
      </c>
      <c r="AH42" s="43"/>
    </row>
    <row r="43" spans="1:34" s="20" customFormat="1" ht="18">
      <c r="A43" s="19"/>
      <c r="B43" s="26">
        <v>39</v>
      </c>
      <c r="C43" s="74">
        <v>15972</v>
      </c>
      <c r="D43" s="27" t="s">
        <v>43</v>
      </c>
      <c r="E43" s="27">
        <v>1</v>
      </c>
      <c r="F43" s="40">
        <v>43389</v>
      </c>
      <c r="G43" s="28">
        <v>1</v>
      </c>
      <c r="H43" s="27">
        <v>1</v>
      </c>
      <c r="I43" s="27">
        <v>0</v>
      </c>
      <c r="J43" s="27">
        <v>1</v>
      </c>
      <c r="K43" s="28">
        <v>0</v>
      </c>
      <c r="L43" s="28">
        <v>5</v>
      </c>
      <c r="M43" s="27">
        <v>1</v>
      </c>
      <c r="N43" s="27">
        <v>1</v>
      </c>
      <c r="O43" s="27">
        <v>0</v>
      </c>
      <c r="P43" s="27">
        <v>0</v>
      </c>
      <c r="Q43" s="27">
        <v>1</v>
      </c>
      <c r="R43" s="27">
        <v>0</v>
      </c>
      <c r="S43" s="27">
        <v>0</v>
      </c>
      <c r="T43" s="42"/>
      <c r="U43" s="42"/>
      <c r="V43" s="42">
        <f>1014.52+8586.14</f>
        <v>9600.66</v>
      </c>
      <c r="W43" s="42"/>
      <c r="X43" s="42"/>
      <c r="Y43" s="42"/>
      <c r="Z43" s="29">
        <f t="shared" si="7"/>
        <v>1920.132</v>
      </c>
      <c r="AA43" s="29">
        <f t="shared" si="8"/>
        <v>0</v>
      </c>
      <c r="AB43" s="29">
        <f t="shared" si="9"/>
        <v>0</v>
      </c>
      <c r="AC43" s="29">
        <f t="shared" si="10"/>
        <v>0</v>
      </c>
      <c r="AD43" s="29">
        <f t="shared" si="11"/>
        <v>0</v>
      </c>
      <c r="AE43" s="29">
        <f t="shared" si="12"/>
        <v>0</v>
      </c>
      <c r="AF43" s="29">
        <f t="shared" si="13"/>
        <v>1920.132</v>
      </c>
      <c r="AG43" s="46" t="s">
        <v>60</v>
      </c>
      <c r="AH43" s="46"/>
    </row>
    <row r="44" spans="1:34" s="20" customFormat="1" ht="18">
      <c r="A44" s="19"/>
      <c r="B44" s="96"/>
      <c r="C44" s="97"/>
      <c r="D44" s="98"/>
      <c r="E44" s="98"/>
      <c r="F44" s="99"/>
      <c r="G44" s="100"/>
      <c r="H44" s="98"/>
      <c r="I44" s="98"/>
      <c r="J44" s="98"/>
      <c r="K44" s="100"/>
      <c r="L44" s="100"/>
      <c r="M44" s="98"/>
      <c r="N44" s="98"/>
      <c r="O44" s="98"/>
      <c r="P44" s="98"/>
      <c r="Q44" s="98"/>
      <c r="R44" s="98"/>
      <c r="S44" s="98"/>
      <c r="T44" s="101"/>
      <c r="U44" s="101"/>
      <c r="V44" s="101"/>
      <c r="W44" s="101"/>
      <c r="X44" s="101"/>
      <c r="Y44" s="101"/>
      <c r="Z44" s="102"/>
      <c r="AA44" s="102"/>
      <c r="AB44" s="102"/>
      <c r="AC44" s="102"/>
      <c r="AD44" s="102"/>
      <c r="AE44" s="102"/>
      <c r="AF44" s="102"/>
      <c r="AG44" s="103"/>
      <c r="AH44" s="104"/>
    </row>
    <row r="45" spans="1:34" s="20" customFormat="1" ht="23.25">
      <c r="A45" s="19"/>
      <c r="B45" s="112" t="s">
        <v>74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4"/>
    </row>
    <row r="46" spans="1:34" s="70" customFormat="1" ht="18">
      <c r="A46" s="69">
        <v>23</v>
      </c>
      <c r="B46" s="26">
        <v>1</v>
      </c>
      <c r="C46" s="74">
        <v>15962</v>
      </c>
      <c r="D46" s="27" t="s">
        <v>33</v>
      </c>
      <c r="E46" s="27">
        <v>1</v>
      </c>
      <c r="F46" s="40">
        <v>43395</v>
      </c>
      <c r="G46" s="27">
        <v>1</v>
      </c>
      <c r="H46" s="27">
        <v>1</v>
      </c>
      <c r="I46" s="28">
        <v>0</v>
      </c>
      <c r="J46" s="27">
        <v>1</v>
      </c>
      <c r="K46" s="28">
        <v>1</v>
      </c>
      <c r="L46" s="28">
        <v>2</v>
      </c>
      <c r="M46" s="28">
        <v>1</v>
      </c>
      <c r="N46" s="27">
        <v>1</v>
      </c>
      <c r="O46" s="27">
        <v>0</v>
      </c>
      <c r="P46" s="27">
        <v>0</v>
      </c>
      <c r="Q46" s="27">
        <v>0</v>
      </c>
      <c r="R46" s="28">
        <v>0</v>
      </c>
      <c r="S46" s="27">
        <v>1</v>
      </c>
      <c r="T46" s="29"/>
      <c r="U46" s="29"/>
      <c r="V46" s="29">
        <v>8074.96</v>
      </c>
      <c r="W46" s="29"/>
      <c r="X46" s="29"/>
      <c r="Y46" s="29"/>
      <c r="Z46" s="29">
        <f t="shared" si="7"/>
        <v>4037.48</v>
      </c>
      <c r="AA46" s="29">
        <f t="shared" si="8"/>
        <v>0</v>
      </c>
      <c r="AB46" s="29">
        <f t="shared" si="9"/>
        <v>807.4960000000001</v>
      </c>
      <c r="AC46" s="29">
        <f t="shared" si="10"/>
        <v>0</v>
      </c>
      <c r="AD46" s="29">
        <f t="shared" si="11"/>
        <v>1211.244</v>
      </c>
      <c r="AE46" s="29">
        <f t="shared" si="12"/>
        <v>0</v>
      </c>
      <c r="AF46" s="29">
        <f t="shared" si="13"/>
        <v>2018.74</v>
      </c>
      <c r="AG46" s="43" t="s">
        <v>37</v>
      </c>
      <c r="AH46" s="43"/>
    </row>
    <row r="47" spans="1:34" ht="18">
      <c r="A47" s="3"/>
      <c r="B47" s="26">
        <v>2</v>
      </c>
      <c r="C47" s="74">
        <v>16129</v>
      </c>
      <c r="D47" s="27" t="s">
        <v>43</v>
      </c>
      <c r="E47" s="28">
        <v>1</v>
      </c>
      <c r="F47" s="45">
        <v>43384</v>
      </c>
      <c r="G47" s="28">
        <v>1</v>
      </c>
      <c r="H47" s="28">
        <v>1</v>
      </c>
      <c r="I47" s="28">
        <v>0</v>
      </c>
      <c r="J47" s="28">
        <v>1</v>
      </c>
      <c r="K47" s="28">
        <v>0</v>
      </c>
      <c r="L47" s="28">
        <v>2</v>
      </c>
      <c r="M47" s="28">
        <v>1</v>
      </c>
      <c r="N47" s="28">
        <v>1</v>
      </c>
      <c r="O47" s="28">
        <v>0</v>
      </c>
      <c r="P47" s="28">
        <v>0</v>
      </c>
      <c r="Q47" s="28">
        <v>0</v>
      </c>
      <c r="R47" s="28">
        <v>1</v>
      </c>
      <c r="S47" s="28">
        <v>0</v>
      </c>
      <c r="T47" s="29">
        <v>9692.31</v>
      </c>
      <c r="U47" s="29"/>
      <c r="V47" s="29">
        <v>0.18</v>
      </c>
      <c r="W47" s="29"/>
      <c r="X47" s="29"/>
      <c r="Y47" s="29"/>
      <c r="Z47" s="29">
        <f t="shared" si="7"/>
        <v>2423.1675</v>
      </c>
      <c r="AA47" s="29">
        <f t="shared" si="8"/>
        <v>0</v>
      </c>
      <c r="AB47" s="29">
        <f t="shared" si="9"/>
        <v>0</v>
      </c>
      <c r="AC47" s="29">
        <f t="shared" si="10"/>
        <v>242.31675</v>
      </c>
      <c r="AD47" s="29">
        <f t="shared" si="11"/>
        <v>0</v>
      </c>
      <c r="AE47" s="29">
        <f t="shared" si="12"/>
        <v>0</v>
      </c>
      <c r="AF47" s="29">
        <f t="shared" si="13"/>
        <v>2180.85075</v>
      </c>
      <c r="AG47" s="43" t="s">
        <v>34</v>
      </c>
      <c r="AH47" s="43"/>
    </row>
    <row r="48" spans="1:34" s="20" customFormat="1" ht="18">
      <c r="A48" s="19"/>
      <c r="B48" s="26">
        <v>3</v>
      </c>
      <c r="C48" s="74">
        <v>15980</v>
      </c>
      <c r="D48" s="27" t="s">
        <v>43</v>
      </c>
      <c r="E48" s="27">
        <v>1</v>
      </c>
      <c r="F48" s="40">
        <v>43385</v>
      </c>
      <c r="G48" s="28">
        <v>1</v>
      </c>
      <c r="H48" s="27">
        <v>1</v>
      </c>
      <c r="I48" s="27">
        <v>0</v>
      </c>
      <c r="J48" s="27">
        <v>1</v>
      </c>
      <c r="K48" s="28">
        <v>0</v>
      </c>
      <c r="L48" s="28">
        <v>6</v>
      </c>
      <c r="M48" s="27">
        <v>1</v>
      </c>
      <c r="N48" s="27">
        <v>1</v>
      </c>
      <c r="O48" s="27">
        <v>1</v>
      </c>
      <c r="P48" s="27">
        <v>1</v>
      </c>
      <c r="Q48" s="27">
        <v>0</v>
      </c>
      <c r="R48" s="27">
        <v>0</v>
      </c>
      <c r="S48" s="27">
        <v>0</v>
      </c>
      <c r="T48" s="42">
        <f>19370.85+16361.65</f>
        <v>35732.5</v>
      </c>
      <c r="U48" s="42"/>
      <c r="V48" s="42">
        <f>19941.73+16932.96-T48</f>
        <v>1142.1900000000023</v>
      </c>
      <c r="W48" s="42"/>
      <c r="X48" s="42"/>
      <c r="Y48" s="42"/>
      <c r="Z48" s="29">
        <f t="shared" si="7"/>
        <v>3168.0733333333337</v>
      </c>
      <c r="AA48" s="29">
        <f t="shared" si="8"/>
        <v>950.422</v>
      </c>
      <c r="AB48" s="29">
        <f t="shared" si="9"/>
        <v>0</v>
      </c>
      <c r="AC48" s="29">
        <f t="shared" si="10"/>
        <v>0</v>
      </c>
      <c r="AD48" s="29">
        <f t="shared" si="11"/>
        <v>0</v>
      </c>
      <c r="AE48" s="29">
        <f t="shared" si="12"/>
        <v>0</v>
      </c>
      <c r="AF48" s="29">
        <f t="shared" si="13"/>
        <v>2217.6513333333337</v>
      </c>
      <c r="AG48" s="43" t="s">
        <v>59</v>
      </c>
      <c r="AH48" s="43"/>
    </row>
    <row r="49" spans="1:34" s="20" customFormat="1" ht="18">
      <c r="A49" s="19"/>
      <c r="B49" s="26">
        <v>4</v>
      </c>
      <c r="C49" s="74">
        <v>16124</v>
      </c>
      <c r="D49" s="27" t="s">
        <v>43</v>
      </c>
      <c r="E49" s="27">
        <v>1</v>
      </c>
      <c r="F49" s="40">
        <v>43382</v>
      </c>
      <c r="G49" s="28">
        <v>1</v>
      </c>
      <c r="H49" s="27">
        <v>1</v>
      </c>
      <c r="I49" s="27">
        <v>1</v>
      </c>
      <c r="J49" s="27">
        <v>1</v>
      </c>
      <c r="K49" s="28">
        <v>0</v>
      </c>
      <c r="L49" s="28">
        <v>3</v>
      </c>
      <c r="M49" s="27">
        <v>1</v>
      </c>
      <c r="N49" s="27">
        <v>1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42"/>
      <c r="U49" s="42"/>
      <c r="V49" s="42">
        <f>8600+1120</f>
        <v>9720</v>
      </c>
      <c r="W49" s="42"/>
      <c r="X49" s="42"/>
      <c r="Y49" s="42"/>
      <c r="Z49" s="29">
        <f>((T49*50%+U49*85%+V49)/L49)+W49</f>
        <v>3240</v>
      </c>
      <c r="AA49" s="29">
        <f>IF(O49=1,Z49*30%,0)</f>
        <v>0</v>
      </c>
      <c r="AB49" s="29">
        <f>IF(K49=1,Z49*20%,0)</f>
        <v>0</v>
      </c>
      <c r="AC49" s="29">
        <f>IF(R49=1,Z49*10%,0)</f>
        <v>0</v>
      </c>
      <c r="AD49" s="29">
        <f>IF(S49=1,Z49*30%,0)</f>
        <v>0</v>
      </c>
      <c r="AE49" s="29">
        <f>IF(I49=1,Z49*30%,0)</f>
        <v>972</v>
      </c>
      <c r="AF49" s="29">
        <f>Z49-AA49-AB49-AC49-AD49-AE49</f>
        <v>2268</v>
      </c>
      <c r="AG49" s="46" t="s">
        <v>49</v>
      </c>
      <c r="AH49" s="46"/>
    </row>
    <row r="50" spans="1:34" s="5" customFormat="1" ht="18">
      <c r="A50" s="7">
        <v>217</v>
      </c>
      <c r="B50" s="26">
        <v>5</v>
      </c>
      <c r="C50" s="74">
        <v>16066</v>
      </c>
      <c r="D50" s="27" t="s">
        <v>43</v>
      </c>
      <c r="E50" s="28">
        <v>1</v>
      </c>
      <c r="F50" s="45">
        <v>43395</v>
      </c>
      <c r="G50" s="28">
        <v>1</v>
      </c>
      <c r="H50" s="28">
        <v>1</v>
      </c>
      <c r="I50" s="28">
        <v>0</v>
      </c>
      <c r="J50" s="28">
        <v>1</v>
      </c>
      <c r="K50" s="28">
        <v>0</v>
      </c>
      <c r="L50" s="28">
        <v>4</v>
      </c>
      <c r="M50" s="28">
        <v>1</v>
      </c>
      <c r="N50" s="28">
        <v>1</v>
      </c>
      <c r="O50" s="28">
        <v>1</v>
      </c>
      <c r="P50" s="28">
        <v>0</v>
      </c>
      <c r="Q50" s="28">
        <v>0</v>
      </c>
      <c r="R50" s="28">
        <v>0</v>
      </c>
      <c r="S50" s="28">
        <v>0</v>
      </c>
      <c r="T50" s="29">
        <f>11418.6+13687</f>
        <v>25105.6</v>
      </c>
      <c r="U50" s="29"/>
      <c r="V50" s="29">
        <f>11418.6+14181.78-T50</f>
        <v>494.7800000000025</v>
      </c>
      <c r="W50" s="29"/>
      <c r="X50" s="29"/>
      <c r="Y50" s="29"/>
      <c r="Z50" s="29">
        <f t="shared" si="7"/>
        <v>3261.8950000000004</v>
      </c>
      <c r="AA50" s="29">
        <f t="shared" si="8"/>
        <v>978.5685000000001</v>
      </c>
      <c r="AB50" s="29">
        <f t="shared" si="9"/>
        <v>0</v>
      </c>
      <c r="AC50" s="29">
        <f t="shared" si="10"/>
        <v>0</v>
      </c>
      <c r="AD50" s="29">
        <f t="shared" si="11"/>
        <v>0</v>
      </c>
      <c r="AE50" s="29">
        <f t="shared" si="12"/>
        <v>0</v>
      </c>
      <c r="AF50" s="29">
        <f t="shared" si="13"/>
        <v>2283.3265</v>
      </c>
      <c r="AG50" s="43" t="s">
        <v>34</v>
      </c>
      <c r="AH50" s="43"/>
    </row>
    <row r="51" spans="1:34" s="18" customFormat="1" ht="18">
      <c r="A51" s="17">
        <v>47</v>
      </c>
      <c r="B51" s="26">
        <v>6</v>
      </c>
      <c r="C51" s="74">
        <v>2785</v>
      </c>
      <c r="D51" s="27" t="s">
        <v>28</v>
      </c>
      <c r="E51" s="27">
        <v>1</v>
      </c>
      <c r="F51" s="45">
        <v>43388</v>
      </c>
      <c r="G51" s="28">
        <v>1</v>
      </c>
      <c r="H51" s="28">
        <v>1</v>
      </c>
      <c r="I51" s="28">
        <v>1</v>
      </c>
      <c r="J51" s="28">
        <v>1</v>
      </c>
      <c r="K51" s="28">
        <v>0</v>
      </c>
      <c r="L51" s="28">
        <v>3</v>
      </c>
      <c r="M51" s="28">
        <v>1</v>
      </c>
      <c r="N51" s="28">
        <v>1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9"/>
      <c r="U51" s="29"/>
      <c r="V51" s="29">
        <f>5516.64+4400.6</f>
        <v>9917.240000000002</v>
      </c>
      <c r="W51" s="29"/>
      <c r="X51" s="29"/>
      <c r="Y51" s="29"/>
      <c r="Z51" s="29">
        <f t="shared" si="7"/>
        <v>3305.7466666666674</v>
      </c>
      <c r="AA51" s="29">
        <f t="shared" si="8"/>
        <v>0</v>
      </c>
      <c r="AB51" s="29">
        <f t="shared" si="9"/>
        <v>0</v>
      </c>
      <c r="AC51" s="29">
        <f t="shared" si="10"/>
        <v>0</v>
      </c>
      <c r="AD51" s="29">
        <f t="shared" si="11"/>
        <v>0</v>
      </c>
      <c r="AE51" s="29">
        <f t="shared" si="12"/>
        <v>991.7240000000002</v>
      </c>
      <c r="AF51" s="29">
        <f t="shared" si="13"/>
        <v>2314.022666666667</v>
      </c>
      <c r="AG51" s="43" t="s">
        <v>31</v>
      </c>
      <c r="AH51" s="43"/>
    </row>
    <row r="52" spans="1:34" s="18" customFormat="1" ht="18">
      <c r="A52" s="17">
        <v>55</v>
      </c>
      <c r="B52" s="26">
        <v>7</v>
      </c>
      <c r="C52" s="74">
        <v>16034</v>
      </c>
      <c r="D52" s="28" t="s">
        <v>33</v>
      </c>
      <c r="E52" s="28">
        <v>1</v>
      </c>
      <c r="F52" s="45">
        <v>43383</v>
      </c>
      <c r="G52" s="28">
        <v>1</v>
      </c>
      <c r="H52" s="28">
        <v>1</v>
      </c>
      <c r="I52" s="28">
        <v>0</v>
      </c>
      <c r="J52" s="28">
        <v>1</v>
      </c>
      <c r="K52" s="28">
        <v>0</v>
      </c>
      <c r="L52" s="28">
        <v>4</v>
      </c>
      <c r="M52" s="28">
        <v>1</v>
      </c>
      <c r="N52" s="28">
        <v>1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9"/>
      <c r="U52" s="29"/>
      <c r="V52" s="29">
        <f>6509.91+2850.09</f>
        <v>9360</v>
      </c>
      <c r="W52" s="29"/>
      <c r="X52" s="29"/>
      <c r="Y52" s="29"/>
      <c r="Z52" s="29">
        <f t="shared" si="7"/>
        <v>2340</v>
      </c>
      <c r="AA52" s="29">
        <f t="shared" si="8"/>
        <v>0</v>
      </c>
      <c r="AB52" s="29">
        <f t="shared" si="9"/>
        <v>0</v>
      </c>
      <c r="AC52" s="29">
        <f t="shared" si="10"/>
        <v>0</v>
      </c>
      <c r="AD52" s="29">
        <f t="shared" si="11"/>
        <v>0</v>
      </c>
      <c r="AE52" s="29">
        <f t="shared" si="12"/>
        <v>0</v>
      </c>
      <c r="AF52" s="29">
        <f t="shared" si="13"/>
        <v>2340</v>
      </c>
      <c r="AG52" s="43" t="s">
        <v>34</v>
      </c>
      <c r="AH52" s="44"/>
    </row>
    <row r="53" spans="1:34" ht="18">
      <c r="A53" s="3">
        <v>206</v>
      </c>
      <c r="B53" s="26">
        <v>8</v>
      </c>
      <c r="C53" s="55">
        <v>16036</v>
      </c>
      <c r="D53" s="28" t="s">
        <v>33</v>
      </c>
      <c r="E53" s="27">
        <v>1</v>
      </c>
      <c r="F53" s="40">
        <v>43391</v>
      </c>
      <c r="G53" s="28">
        <v>1</v>
      </c>
      <c r="H53" s="27">
        <v>1</v>
      </c>
      <c r="I53" s="27">
        <v>1</v>
      </c>
      <c r="J53" s="27">
        <v>1</v>
      </c>
      <c r="K53" s="28">
        <v>0</v>
      </c>
      <c r="L53" s="28">
        <v>3</v>
      </c>
      <c r="M53" s="27">
        <v>1</v>
      </c>
      <c r="N53" s="27">
        <v>1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42"/>
      <c r="U53" s="42"/>
      <c r="V53" s="42">
        <f>7620+2500</f>
        <v>10120</v>
      </c>
      <c r="W53" s="42"/>
      <c r="X53" s="42"/>
      <c r="Y53" s="42"/>
      <c r="Z53" s="29">
        <f t="shared" si="7"/>
        <v>3373.3333333333335</v>
      </c>
      <c r="AA53" s="29">
        <f t="shared" si="8"/>
        <v>0</v>
      </c>
      <c r="AB53" s="29">
        <f t="shared" si="9"/>
        <v>0</v>
      </c>
      <c r="AC53" s="29">
        <f t="shared" si="10"/>
        <v>0</v>
      </c>
      <c r="AD53" s="29">
        <f t="shared" si="11"/>
        <v>0</v>
      </c>
      <c r="AE53" s="29">
        <f t="shared" si="12"/>
        <v>1012</v>
      </c>
      <c r="AF53" s="29">
        <f t="shared" si="13"/>
        <v>2361.3333333333335</v>
      </c>
      <c r="AG53" s="43" t="s">
        <v>37</v>
      </c>
      <c r="AH53" s="43"/>
    </row>
    <row r="54" spans="1:34" s="18" customFormat="1" ht="18">
      <c r="A54" s="17">
        <v>197</v>
      </c>
      <c r="B54" s="26">
        <v>9</v>
      </c>
      <c r="C54" s="74">
        <v>15942</v>
      </c>
      <c r="D54" s="27" t="s">
        <v>33</v>
      </c>
      <c r="E54" s="27">
        <v>1</v>
      </c>
      <c r="F54" s="40">
        <v>43395</v>
      </c>
      <c r="G54" s="27">
        <v>1</v>
      </c>
      <c r="H54" s="27">
        <v>1</v>
      </c>
      <c r="I54" s="27">
        <v>0</v>
      </c>
      <c r="J54" s="27">
        <v>1</v>
      </c>
      <c r="K54" s="28">
        <v>0</v>
      </c>
      <c r="L54" s="28">
        <v>2</v>
      </c>
      <c r="M54" s="28">
        <v>1</v>
      </c>
      <c r="N54" s="27">
        <v>1</v>
      </c>
      <c r="O54" s="27">
        <v>0</v>
      </c>
      <c r="P54" s="27">
        <v>0</v>
      </c>
      <c r="Q54" s="27">
        <v>0</v>
      </c>
      <c r="R54" s="27">
        <v>1</v>
      </c>
      <c r="S54" s="27">
        <v>0</v>
      </c>
      <c r="T54" s="29">
        <v>12136.52</v>
      </c>
      <c r="U54" s="29"/>
      <c r="V54" s="29">
        <v>0.83</v>
      </c>
      <c r="W54" s="29"/>
      <c r="X54" s="29"/>
      <c r="Y54" s="29"/>
      <c r="Z54" s="29">
        <f t="shared" si="7"/>
        <v>3034.545</v>
      </c>
      <c r="AA54" s="29">
        <f t="shared" si="8"/>
        <v>0</v>
      </c>
      <c r="AB54" s="29">
        <f t="shared" si="9"/>
        <v>0</v>
      </c>
      <c r="AC54" s="29">
        <f t="shared" si="10"/>
        <v>303.4545</v>
      </c>
      <c r="AD54" s="29">
        <f t="shared" si="11"/>
        <v>0</v>
      </c>
      <c r="AE54" s="29">
        <f t="shared" si="12"/>
        <v>0</v>
      </c>
      <c r="AF54" s="29">
        <f t="shared" si="13"/>
        <v>2731.0905000000002</v>
      </c>
      <c r="AG54" s="46" t="s">
        <v>49</v>
      </c>
      <c r="AH54" s="46"/>
    </row>
    <row r="55" spans="1:34" s="20" customFormat="1" ht="18">
      <c r="A55" s="19"/>
      <c r="B55" s="26">
        <v>10</v>
      </c>
      <c r="C55" s="74">
        <v>16146</v>
      </c>
      <c r="D55" s="27" t="s">
        <v>43</v>
      </c>
      <c r="E55" s="27">
        <v>1</v>
      </c>
      <c r="F55" s="40">
        <v>43394</v>
      </c>
      <c r="G55" s="28">
        <v>1</v>
      </c>
      <c r="H55" s="27">
        <v>1</v>
      </c>
      <c r="I55" s="27">
        <v>0</v>
      </c>
      <c r="J55" s="27">
        <v>1</v>
      </c>
      <c r="K55" s="28">
        <v>0</v>
      </c>
      <c r="L55" s="28">
        <v>2</v>
      </c>
      <c r="M55" s="27">
        <v>1</v>
      </c>
      <c r="N55" s="27">
        <v>1</v>
      </c>
      <c r="O55" s="27">
        <v>0</v>
      </c>
      <c r="P55" s="27">
        <v>0</v>
      </c>
      <c r="Q55" s="27">
        <v>0</v>
      </c>
      <c r="R55" s="27">
        <v>1</v>
      </c>
      <c r="S55" s="27">
        <v>0</v>
      </c>
      <c r="T55" s="42">
        <v>2758.95</v>
      </c>
      <c r="U55" s="42"/>
      <c r="V55" s="42">
        <f>7479.96-T55</f>
        <v>4721.01</v>
      </c>
      <c r="W55" s="42"/>
      <c r="X55" s="42"/>
      <c r="Y55" s="42"/>
      <c r="Z55" s="29">
        <f t="shared" si="7"/>
        <v>3050.2425000000003</v>
      </c>
      <c r="AA55" s="29">
        <f t="shared" si="8"/>
        <v>0</v>
      </c>
      <c r="AB55" s="29">
        <f t="shared" si="9"/>
        <v>0</v>
      </c>
      <c r="AC55" s="29">
        <f t="shared" si="10"/>
        <v>305.02425000000005</v>
      </c>
      <c r="AD55" s="29">
        <f t="shared" si="11"/>
        <v>0</v>
      </c>
      <c r="AE55" s="29">
        <f t="shared" si="12"/>
        <v>0</v>
      </c>
      <c r="AF55" s="29">
        <f t="shared" si="13"/>
        <v>2745.2182500000004</v>
      </c>
      <c r="AG55" s="46" t="s">
        <v>34</v>
      </c>
      <c r="AH55" s="46"/>
    </row>
    <row r="56" spans="1:34" s="20" customFormat="1" ht="18">
      <c r="A56" s="19"/>
      <c r="B56" s="26">
        <v>11</v>
      </c>
      <c r="C56" s="74">
        <v>15995</v>
      </c>
      <c r="D56" s="27" t="s">
        <v>43</v>
      </c>
      <c r="E56" s="28">
        <v>1</v>
      </c>
      <c r="F56" s="45">
        <v>43382</v>
      </c>
      <c r="G56" s="28">
        <v>1</v>
      </c>
      <c r="H56" s="28">
        <v>1</v>
      </c>
      <c r="I56" s="28">
        <v>0</v>
      </c>
      <c r="J56" s="28">
        <v>1</v>
      </c>
      <c r="K56" s="28">
        <v>0</v>
      </c>
      <c r="L56" s="28">
        <v>5</v>
      </c>
      <c r="M56" s="28">
        <v>1</v>
      </c>
      <c r="N56" s="28">
        <v>1</v>
      </c>
      <c r="O56" s="28">
        <v>0</v>
      </c>
      <c r="P56" s="28">
        <v>0</v>
      </c>
      <c r="Q56" s="28">
        <v>1</v>
      </c>
      <c r="R56" s="28">
        <v>0</v>
      </c>
      <c r="S56" s="28">
        <v>0</v>
      </c>
      <c r="T56" s="29">
        <f>19156.05+8266.37+1141.92</f>
        <v>28564.339999999997</v>
      </c>
      <c r="U56" s="29"/>
      <c r="V56" s="29">
        <f>19246.78+9494.89-T56</f>
        <v>177.33000000000175</v>
      </c>
      <c r="W56" s="29"/>
      <c r="X56" s="29"/>
      <c r="Y56" s="29"/>
      <c r="Z56" s="29">
        <f t="shared" si="7"/>
        <v>2891.9</v>
      </c>
      <c r="AA56" s="29">
        <f t="shared" si="8"/>
        <v>0</v>
      </c>
      <c r="AB56" s="29">
        <f t="shared" si="9"/>
        <v>0</v>
      </c>
      <c r="AC56" s="29">
        <f t="shared" si="10"/>
        <v>0</v>
      </c>
      <c r="AD56" s="29">
        <f t="shared" si="11"/>
        <v>0</v>
      </c>
      <c r="AE56" s="29">
        <f t="shared" si="12"/>
        <v>0</v>
      </c>
      <c r="AF56" s="29">
        <f t="shared" si="13"/>
        <v>2891.9</v>
      </c>
      <c r="AG56" s="46" t="s">
        <v>34</v>
      </c>
      <c r="AH56" s="46"/>
    </row>
    <row r="57" spans="1:34" s="5" customFormat="1" ht="18">
      <c r="A57" s="7">
        <v>224</v>
      </c>
      <c r="B57" s="26">
        <v>12</v>
      </c>
      <c r="C57" s="74">
        <v>16034</v>
      </c>
      <c r="D57" s="27" t="s">
        <v>43</v>
      </c>
      <c r="E57" s="28">
        <v>1</v>
      </c>
      <c r="F57" s="45">
        <v>43383</v>
      </c>
      <c r="G57" s="28">
        <v>1</v>
      </c>
      <c r="H57" s="28">
        <v>1</v>
      </c>
      <c r="I57" s="28">
        <v>0</v>
      </c>
      <c r="J57" s="28">
        <v>1</v>
      </c>
      <c r="K57" s="28">
        <v>0</v>
      </c>
      <c r="L57" s="28">
        <v>3</v>
      </c>
      <c r="M57" s="28">
        <v>1</v>
      </c>
      <c r="N57" s="28">
        <v>1</v>
      </c>
      <c r="O57" s="28">
        <v>0</v>
      </c>
      <c r="P57" s="28">
        <v>0</v>
      </c>
      <c r="Q57" s="28">
        <v>1</v>
      </c>
      <c r="R57" s="28">
        <v>1</v>
      </c>
      <c r="S57" s="28">
        <v>0</v>
      </c>
      <c r="T57" s="29">
        <f>375.31+18970.43</f>
        <v>19345.74</v>
      </c>
      <c r="U57" s="29"/>
      <c r="V57" s="29">
        <f>0.02+26.11</f>
        <v>26.13</v>
      </c>
      <c r="W57" s="29"/>
      <c r="X57" s="29"/>
      <c r="Y57" s="29"/>
      <c r="Z57" s="29">
        <f t="shared" si="7"/>
        <v>3233</v>
      </c>
      <c r="AA57" s="29">
        <f t="shared" si="8"/>
        <v>0</v>
      </c>
      <c r="AB57" s="29">
        <f t="shared" si="9"/>
        <v>0</v>
      </c>
      <c r="AC57" s="29">
        <f t="shared" si="10"/>
        <v>323.3</v>
      </c>
      <c r="AD57" s="29">
        <f t="shared" si="11"/>
        <v>0</v>
      </c>
      <c r="AE57" s="29">
        <f t="shared" si="12"/>
        <v>0</v>
      </c>
      <c r="AF57" s="29">
        <f t="shared" si="13"/>
        <v>2909.7</v>
      </c>
      <c r="AG57" s="46" t="s">
        <v>49</v>
      </c>
      <c r="AH57" s="46"/>
    </row>
    <row r="58" spans="1:34" ht="18">
      <c r="A58" s="8"/>
      <c r="B58" s="26">
        <v>13</v>
      </c>
      <c r="C58" s="74">
        <v>15968</v>
      </c>
      <c r="D58" s="27" t="s">
        <v>43</v>
      </c>
      <c r="E58" s="27">
        <v>1</v>
      </c>
      <c r="F58" s="40">
        <v>43385</v>
      </c>
      <c r="G58" s="28">
        <v>1</v>
      </c>
      <c r="H58" s="27">
        <v>1</v>
      </c>
      <c r="I58" s="27">
        <v>0</v>
      </c>
      <c r="J58" s="27">
        <v>1</v>
      </c>
      <c r="K58" s="28">
        <v>0</v>
      </c>
      <c r="L58" s="28">
        <v>4</v>
      </c>
      <c r="M58" s="27">
        <v>1</v>
      </c>
      <c r="N58" s="27">
        <v>1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42"/>
      <c r="U58" s="42">
        <v>4040.27</v>
      </c>
      <c r="V58" s="42">
        <f>4028.21+9523.07-U58</f>
        <v>9511.009999999998</v>
      </c>
      <c r="W58" s="42"/>
      <c r="X58" s="42"/>
      <c r="Y58" s="42"/>
      <c r="Z58" s="29">
        <f>((T58*50%+U58*85%+V58)/L58)+W58</f>
        <v>3236.3098749999995</v>
      </c>
      <c r="AA58" s="29">
        <f>IF(O58=1,Z58*30%,0)</f>
        <v>0</v>
      </c>
      <c r="AB58" s="29">
        <f>IF(K58=1,Z58*20%,0)</f>
        <v>0</v>
      </c>
      <c r="AC58" s="29">
        <f>IF(R58=1,Z58*10%,0)</f>
        <v>0</v>
      </c>
      <c r="AD58" s="29">
        <f>IF(S58=1,Z58*30%,0)</f>
        <v>0</v>
      </c>
      <c r="AE58" s="29">
        <f>IF(I58=1,Z58*30%,0)</f>
        <v>0</v>
      </c>
      <c r="AF58" s="29">
        <f>Z58-AA58-AB58-AC58-AD58-AE58</f>
        <v>3236.3098749999995</v>
      </c>
      <c r="AG58" s="43" t="s">
        <v>34</v>
      </c>
      <c r="AH58" s="43"/>
    </row>
    <row r="59" spans="1:34" s="18" customFormat="1" ht="18">
      <c r="A59" s="17">
        <v>118</v>
      </c>
      <c r="B59" s="26">
        <v>14</v>
      </c>
      <c r="C59" s="74">
        <v>16062</v>
      </c>
      <c r="D59" s="27" t="s">
        <v>33</v>
      </c>
      <c r="E59" s="27">
        <v>1</v>
      </c>
      <c r="F59" s="40">
        <v>43394</v>
      </c>
      <c r="G59" s="27">
        <v>1</v>
      </c>
      <c r="H59" s="27">
        <v>1</v>
      </c>
      <c r="I59" s="27">
        <v>0</v>
      </c>
      <c r="J59" s="27">
        <v>1</v>
      </c>
      <c r="K59" s="28">
        <v>0</v>
      </c>
      <c r="L59" s="28">
        <v>4</v>
      </c>
      <c r="M59" s="28">
        <v>1</v>
      </c>
      <c r="N59" s="27">
        <v>1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9">
        <v>13289.05</v>
      </c>
      <c r="U59" s="29">
        <f>539.61+13481.15</f>
        <v>14020.76</v>
      </c>
      <c r="V59" s="29">
        <f>14671.04+17114.2-T59-U59</f>
        <v>4475.430000000002</v>
      </c>
      <c r="W59" s="29"/>
      <c r="X59" s="29"/>
      <c r="Y59" s="29"/>
      <c r="Z59" s="29">
        <f t="shared" si="7"/>
        <v>5759.400250000001</v>
      </c>
      <c r="AA59" s="29">
        <f t="shared" si="8"/>
        <v>1727.820075</v>
      </c>
      <c r="AB59" s="29">
        <f t="shared" si="9"/>
        <v>0</v>
      </c>
      <c r="AC59" s="29">
        <f t="shared" si="10"/>
        <v>0</v>
      </c>
      <c r="AD59" s="29">
        <f t="shared" si="11"/>
        <v>0</v>
      </c>
      <c r="AE59" s="29">
        <f t="shared" si="12"/>
        <v>0</v>
      </c>
      <c r="AF59" s="29">
        <f t="shared" si="13"/>
        <v>4031.5801750000005</v>
      </c>
      <c r="AG59" s="43" t="s">
        <v>41</v>
      </c>
      <c r="AH59" s="43"/>
    </row>
    <row r="60" spans="1:34" s="20" customFormat="1" ht="18">
      <c r="A60" s="19"/>
      <c r="B60" s="26">
        <v>15</v>
      </c>
      <c r="C60" s="74">
        <v>15981</v>
      </c>
      <c r="D60" s="27" t="s">
        <v>43</v>
      </c>
      <c r="E60" s="27">
        <v>1</v>
      </c>
      <c r="F60" s="40">
        <v>43382</v>
      </c>
      <c r="G60" s="28">
        <v>1</v>
      </c>
      <c r="H60" s="27">
        <v>1</v>
      </c>
      <c r="I60" s="27">
        <v>0</v>
      </c>
      <c r="J60" s="27">
        <v>1</v>
      </c>
      <c r="K60" s="28">
        <v>0</v>
      </c>
      <c r="L60" s="28">
        <v>3</v>
      </c>
      <c r="M60" s="27">
        <v>1</v>
      </c>
      <c r="N60" s="27">
        <v>1</v>
      </c>
      <c r="O60" s="27">
        <v>0</v>
      </c>
      <c r="P60" s="27">
        <v>1</v>
      </c>
      <c r="Q60" s="27">
        <v>0</v>
      </c>
      <c r="R60" s="27">
        <v>0</v>
      </c>
      <c r="S60" s="27">
        <v>0</v>
      </c>
      <c r="T60" s="42"/>
      <c r="U60" s="42">
        <v>9901.5</v>
      </c>
      <c r="V60" s="42">
        <f>12656.53+2500-U60</f>
        <v>5255.030000000001</v>
      </c>
      <c r="W60" s="42"/>
      <c r="X60" s="42"/>
      <c r="Y60" s="42"/>
      <c r="Z60" s="29">
        <f>((T60*50%+U60*85%+V60)/L60)+W60</f>
        <v>4557.1016666666665</v>
      </c>
      <c r="AA60" s="29">
        <f>IF(O60=1,Z60*30%,0)</f>
        <v>0</v>
      </c>
      <c r="AB60" s="29">
        <f>IF(K60=1,Z60*20%,0)</f>
        <v>0</v>
      </c>
      <c r="AC60" s="29">
        <f>IF(R60=1,Z60*10%,0)</f>
        <v>0</v>
      </c>
      <c r="AD60" s="29">
        <f>IF(S60=1,Z60*30%,0)</f>
        <v>0</v>
      </c>
      <c r="AE60" s="29">
        <f>IF(I60=1,Z60*30%,0)</f>
        <v>0</v>
      </c>
      <c r="AF60" s="29">
        <f>Z60-AA60-AB60-AC60-AD60-AE60</f>
        <v>4557.1016666666665</v>
      </c>
      <c r="AG60" s="46" t="s">
        <v>61</v>
      </c>
      <c r="AH60" s="46"/>
    </row>
    <row r="61" spans="1:34" ht="18">
      <c r="A61" s="8">
        <v>136</v>
      </c>
      <c r="B61" s="26">
        <v>16</v>
      </c>
      <c r="C61" s="74">
        <v>16164</v>
      </c>
      <c r="D61" s="27" t="s">
        <v>43</v>
      </c>
      <c r="E61" s="27">
        <v>1</v>
      </c>
      <c r="F61" s="40">
        <v>43391</v>
      </c>
      <c r="G61" s="28">
        <v>1</v>
      </c>
      <c r="H61" s="27">
        <v>1</v>
      </c>
      <c r="I61" s="27">
        <v>0</v>
      </c>
      <c r="J61" s="27">
        <v>1</v>
      </c>
      <c r="K61" s="28">
        <v>0</v>
      </c>
      <c r="L61" s="28">
        <v>3</v>
      </c>
      <c r="M61" s="27">
        <v>1</v>
      </c>
      <c r="N61" s="27">
        <v>1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42"/>
      <c r="U61" s="42"/>
      <c r="V61" s="42">
        <f>10985.89+3141.13</f>
        <v>14127.02</v>
      </c>
      <c r="W61" s="42"/>
      <c r="X61" s="42"/>
      <c r="Y61" s="42"/>
      <c r="Z61" s="29">
        <f t="shared" si="7"/>
        <v>4709.006666666667</v>
      </c>
      <c r="AA61" s="29">
        <f t="shared" si="8"/>
        <v>0</v>
      </c>
      <c r="AB61" s="29">
        <f t="shared" si="9"/>
        <v>0</v>
      </c>
      <c r="AC61" s="29">
        <f t="shared" si="10"/>
        <v>0</v>
      </c>
      <c r="AD61" s="29">
        <f t="shared" si="11"/>
        <v>0</v>
      </c>
      <c r="AE61" s="29">
        <f t="shared" si="12"/>
        <v>0</v>
      </c>
      <c r="AF61" s="29">
        <f t="shared" si="13"/>
        <v>4709.006666666667</v>
      </c>
      <c r="AG61" s="43" t="s">
        <v>34</v>
      </c>
      <c r="AH61" s="43"/>
    </row>
    <row r="62" spans="1:34" ht="43.5" customHeight="1">
      <c r="A62" s="3"/>
      <c r="B62" s="109" t="s">
        <v>66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1"/>
    </row>
    <row r="63" spans="1:34" s="25" customFormat="1" ht="18.75">
      <c r="A63" s="24">
        <v>129</v>
      </c>
      <c r="B63" s="37">
        <v>1</v>
      </c>
      <c r="C63" s="85">
        <v>16035</v>
      </c>
      <c r="D63" s="27" t="s">
        <v>43</v>
      </c>
      <c r="E63" s="38">
        <v>1</v>
      </c>
      <c r="F63" s="51">
        <v>43382</v>
      </c>
      <c r="G63" s="38"/>
      <c r="H63" s="38"/>
      <c r="I63" s="38"/>
      <c r="J63" s="38"/>
      <c r="K63" s="47"/>
      <c r="L63" s="47"/>
      <c r="M63" s="47"/>
      <c r="N63" s="38"/>
      <c r="O63" s="38"/>
      <c r="P63" s="38"/>
      <c r="Q63" s="38"/>
      <c r="R63" s="38"/>
      <c r="S63" s="38"/>
      <c r="T63" s="48"/>
      <c r="U63" s="48"/>
      <c r="V63" s="48"/>
      <c r="W63" s="48"/>
      <c r="X63" s="48"/>
      <c r="Y63" s="48"/>
      <c r="Z63" s="48" t="e">
        <f>((T63*50%+U63*85%+V63)/L63)+W63</f>
        <v>#DIV/0!</v>
      </c>
      <c r="AA63" s="48">
        <f>IF(O63=1,Z63*30%,0)</f>
        <v>0</v>
      </c>
      <c r="AB63" s="48">
        <f>IF(K63=1,Z63*20%,0)</f>
        <v>0</v>
      </c>
      <c r="AC63" s="48">
        <f>IF(R63=1,Z63*10%,0)</f>
        <v>0</v>
      </c>
      <c r="AD63" s="48">
        <f>IF(S63=1,Z63*30%,0)</f>
        <v>0</v>
      </c>
      <c r="AE63" s="48">
        <f>IF(I63=1,Z63*30%,0)</f>
        <v>0</v>
      </c>
      <c r="AF63" s="48" t="e">
        <f>Z63-AA63-AB63-AC63-AD63-AE63</f>
        <v>#DIV/0!</v>
      </c>
      <c r="AG63" s="39" t="s">
        <v>34</v>
      </c>
      <c r="AH63" s="72"/>
    </row>
    <row r="64" spans="1:34" ht="22.5" customHeight="1">
      <c r="A64" s="3"/>
      <c r="B64" s="26"/>
      <c r="C64" s="38"/>
      <c r="D64" s="27"/>
      <c r="E64" s="28"/>
      <c r="F64" s="45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43"/>
      <c r="AH64" s="43"/>
    </row>
    <row r="65" spans="2:34" ht="23.25">
      <c r="B65" s="108" t="s">
        <v>64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</row>
    <row r="66" spans="1:34" s="55" customFormat="1" ht="15.75">
      <c r="A66" s="93"/>
      <c r="B66" s="41">
        <v>1</v>
      </c>
      <c r="C66" s="55">
        <v>15943</v>
      </c>
      <c r="D66" s="27" t="s">
        <v>33</v>
      </c>
      <c r="E66" s="38">
        <v>1</v>
      </c>
      <c r="F66" s="51">
        <v>43395</v>
      </c>
      <c r="G66" s="38">
        <v>1</v>
      </c>
      <c r="H66" s="38">
        <v>1</v>
      </c>
      <c r="I66" s="38">
        <v>1</v>
      </c>
      <c r="J66" s="38">
        <v>1</v>
      </c>
      <c r="K66" s="47">
        <v>0</v>
      </c>
      <c r="L66" s="47">
        <v>4</v>
      </c>
      <c r="M66" s="47">
        <v>1</v>
      </c>
      <c r="N66" s="38">
        <v>1</v>
      </c>
      <c r="O66" s="38">
        <v>0</v>
      </c>
      <c r="P66" s="38">
        <v>0</v>
      </c>
      <c r="Q66" s="38">
        <v>1</v>
      </c>
      <c r="R66" s="38">
        <v>0</v>
      </c>
      <c r="S66" s="38">
        <v>0</v>
      </c>
      <c r="T66" s="48">
        <v>6289.92</v>
      </c>
      <c r="U66" s="48"/>
      <c r="V66" s="48">
        <f>8427.24-T66</f>
        <v>2137.3199999999997</v>
      </c>
      <c r="W66" s="48"/>
      <c r="X66" s="48"/>
      <c r="Y66" s="48"/>
      <c r="Z66" s="48">
        <f t="shared" si="7"/>
        <v>1320.57</v>
      </c>
      <c r="AA66" s="48">
        <f t="shared" si="8"/>
        <v>0</v>
      </c>
      <c r="AB66" s="48">
        <f t="shared" si="9"/>
        <v>0</v>
      </c>
      <c r="AC66" s="48">
        <f t="shared" si="10"/>
        <v>0</v>
      </c>
      <c r="AD66" s="48">
        <f t="shared" si="11"/>
        <v>0</v>
      </c>
      <c r="AE66" s="48">
        <f t="shared" si="12"/>
        <v>396.171</v>
      </c>
      <c r="AF66" s="48">
        <f t="shared" si="13"/>
        <v>924.3989999999999</v>
      </c>
      <c r="AG66" s="67" t="s">
        <v>47</v>
      </c>
      <c r="AH66" s="68" t="s">
        <v>48</v>
      </c>
    </row>
    <row r="67" spans="1:34" s="55" customFormat="1" ht="15.75">
      <c r="A67" s="93">
        <v>131</v>
      </c>
      <c r="B67" s="26">
        <v>2</v>
      </c>
      <c r="C67" s="55">
        <v>15990</v>
      </c>
      <c r="D67" s="27" t="s">
        <v>43</v>
      </c>
      <c r="E67" s="27">
        <v>1</v>
      </c>
      <c r="F67" s="40">
        <v>43392</v>
      </c>
      <c r="G67" s="28">
        <v>1</v>
      </c>
      <c r="H67" s="27">
        <v>1</v>
      </c>
      <c r="I67" s="27">
        <v>0</v>
      </c>
      <c r="J67" s="27">
        <v>1</v>
      </c>
      <c r="K67" s="28">
        <v>0</v>
      </c>
      <c r="L67" s="28">
        <v>6</v>
      </c>
      <c r="M67" s="27">
        <v>1</v>
      </c>
      <c r="N67" s="27">
        <v>1</v>
      </c>
      <c r="O67" s="27">
        <v>0</v>
      </c>
      <c r="P67" s="27">
        <v>1</v>
      </c>
      <c r="Q67" s="27">
        <v>0</v>
      </c>
      <c r="R67" s="27">
        <v>0</v>
      </c>
      <c r="S67" s="27">
        <v>0</v>
      </c>
      <c r="T67" s="42">
        <f>4247.15+12493.43</f>
        <v>16740.58</v>
      </c>
      <c r="U67" s="42"/>
      <c r="V67" s="42">
        <f>4247.21+12494.37-T67</f>
        <v>1</v>
      </c>
      <c r="W67" s="42"/>
      <c r="X67" s="42"/>
      <c r="Y67" s="42"/>
      <c r="Z67" s="29">
        <f>((T67*50%+U67*85%+V67)/L67)+W67</f>
        <v>1395.2150000000001</v>
      </c>
      <c r="AA67" s="29">
        <f>IF(O67=1,Z67*30%,0)</f>
        <v>0</v>
      </c>
      <c r="AB67" s="29">
        <f>IF(K67=1,Z67*20%,0)</f>
        <v>0</v>
      </c>
      <c r="AC67" s="29">
        <f>IF(R67=1,Z67*10%,0)</f>
        <v>0</v>
      </c>
      <c r="AD67" s="29">
        <f>IF(S67=1,Z67*30%,0)</f>
        <v>0</v>
      </c>
      <c r="AE67" s="29">
        <f>IF(I67=1,Z67*30%,0)</f>
        <v>0</v>
      </c>
      <c r="AF67" s="29">
        <f>Z67-AA67-AB67-AC67-AD67-AE67</f>
        <v>1395.2150000000001</v>
      </c>
      <c r="AG67" s="71" t="s">
        <v>55</v>
      </c>
      <c r="AH67" s="60" t="s">
        <v>75</v>
      </c>
    </row>
    <row r="68" spans="1:34" s="55" customFormat="1" ht="15.75">
      <c r="A68" s="93">
        <v>226</v>
      </c>
      <c r="B68" s="41">
        <v>3</v>
      </c>
      <c r="C68" s="55">
        <v>16057</v>
      </c>
      <c r="D68" s="28" t="s">
        <v>33</v>
      </c>
      <c r="E68" s="27">
        <v>1</v>
      </c>
      <c r="F68" s="40">
        <v>43382</v>
      </c>
      <c r="G68" s="28">
        <v>1</v>
      </c>
      <c r="H68" s="27">
        <v>1</v>
      </c>
      <c r="I68" s="27">
        <v>0</v>
      </c>
      <c r="J68" s="27">
        <v>1</v>
      </c>
      <c r="K68" s="28">
        <v>0</v>
      </c>
      <c r="L68" s="28">
        <v>4</v>
      </c>
      <c r="M68" s="27">
        <v>1</v>
      </c>
      <c r="N68" s="27">
        <v>1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42">
        <f>1953.57+12309.95</f>
        <v>14263.52</v>
      </c>
      <c r="U68" s="42"/>
      <c r="V68" s="42"/>
      <c r="W68" s="42"/>
      <c r="X68" s="42"/>
      <c r="Y68" s="42"/>
      <c r="Z68" s="29">
        <f t="shared" si="7"/>
        <v>1782.94</v>
      </c>
      <c r="AA68" s="29">
        <f t="shared" si="8"/>
        <v>0</v>
      </c>
      <c r="AB68" s="29">
        <f t="shared" si="9"/>
        <v>0</v>
      </c>
      <c r="AC68" s="29">
        <f t="shared" si="10"/>
        <v>0</v>
      </c>
      <c r="AD68" s="29">
        <f t="shared" si="11"/>
        <v>0</v>
      </c>
      <c r="AE68" s="29">
        <f t="shared" si="12"/>
        <v>0</v>
      </c>
      <c r="AF68" s="29">
        <f t="shared" si="13"/>
        <v>1782.94</v>
      </c>
      <c r="AG68" s="63" t="s">
        <v>35</v>
      </c>
      <c r="AH68" s="60" t="s">
        <v>36</v>
      </c>
    </row>
    <row r="69" spans="1:34" ht="18">
      <c r="A69" s="88">
        <v>287</v>
      </c>
      <c r="B69" s="89"/>
      <c r="C69" s="91"/>
      <c r="D69" s="91"/>
      <c r="E69" s="91"/>
      <c r="F69" s="91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2"/>
    </row>
    <row r="70" spans="2:34" ht="23.25">
      <c r="B70" s="105" t="s">
        <v>27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7"/>
    </row>
    <row r="71" spans="1:34" s="25" customFormat="1" ht="22.5" customHeight="1">
      <c r="A71" s="24">
        <v>138</v>
      </c>
      <c r="B71" s="41">
        <v>1</v>
      </c>
      <c r="C71" s="55">
        <v>16056</v>
      </c>
      <c r="D71" s="27" t="s">
        <v>43</v>
      </c>
      <c r="E71" s="27">
        <v>1</v>
      </c>
      <c r="F71" s="40">
        <v>43394</v>
      </c>
      <c r="G71" s="27">
        <v>1</v>
      </c>
      <c r="H71" s="27">
        <v>1</v>
      </c>
      <c r="I71" s="27">
        <v>0</v>
      </c>
      <c r="J71" s="27">
        <v>1</v>
      </c>
      <c r="K71" s="28">
        <v>0</v>
      </c>
      <c r="L71" s="28">
        <v>3</v>
      </c>
      <c r="M71" s="28">
        <v>1</v>
      </c>
      <c r="N71" s="27">
        <v>1</v>
      </c>
      <c r="O71" s="27">
        <v>0</v>
      </c>
      <c r="P71" s="27">
        <v>0</v>
      </c>
      <c r="Q71" s="27">
        <v>0</v>
      </c>
      <c r="R71" s="27">
        <v>0</v>
      </c>
      <c r="S71" s="28">
        <v>0</v>
      </c>
      <c r="T71" s="62">
        <f>37692.03+8580.1</f>
        <v>46272.13</v>
      </c>
      <c r="U71" s="62"/>
      <c r="V71" s="62">
        <f>37692.12+10007.28-T71</f>
        <v>1427.270000000004</v>
      </c>
      <c r="W71" s="29"/>
      <c r="X71" s="29"/>
      <c r="Y71" s="29"/>
      <c r="Z71" s="29">
        <f>((T71*50%+U71*85%+V71)/L71)+W71</f>
        <v>8187.778333333335</v>
      </c>
      <c r="AA71" s="29">
        <f>IF(O71=1,Z71*30%,0)</f>
        <v>0</v>
      </c>
      <c r="AB71" s="29">
        <f>IF(K71=1,Z71*20%,0)</f>
        <v>0</v>
      </c>
      <c r="AC71" s="29">
        <f>IF(R71=1,Z71*10%,0)</f>
        <v>0</v>
      </c>
      <c r="AD71" s="29">
        <f>IF(S71=1,Z71*30%,0)</f>
        <v>0</v>
      </c>
      <c r="AE71" s="29">
        <f>IF(I71=1,Z71*30%,0)</f>
        <v>0</v>
      </c>
      <c r="AF71" s="29">
        <f>Z71-AA71-AB71-AC71-AD71-AE71</f>
        <v>8187.778333333335</v>
      </c>
      <c r="AG71" s="30" t="s">
        <v>49</v>
      </c>
      <c r="AH71" s="86">
        <v>47699.4</v>
      </c>
    </row>
    <row r="72" spans="1:34" s="25" customFormat="1" ht="18">
      <c r="A72" s="24">
        <v>210</v>
      </c>
      <c r="B72" s="37">
        <v>2</v>
      </c>
      <c r="C72" s="55">
        <v>16058</v>
      </c>
      <c r="D72" s="27" t="s">
        <v>43</v>
      </c>
      <c r="E72" s="38">
        <v>1</v>
      </c>
      <c r="F72" s="51">
        <v>43385</v>
      </c>
      <c r="G72" s="38">
        <v>1</v>
      </c>
      <c r="H72" s="38">
        <v>1</v>
      </c>
      <c r="I72" s="38">
        <v>0</v>
      </c>
      <c r="J72" s="38">
        <v>1</v>
      </c>
      <c r="K72" s="47">
        <v>0</v>
      </c>
      <c r="L72" s="47">
        <v>4</v>
      </c>
      <c r="M72" s="47">
        <v>1</v>
      </c>
      <c r="N72" s="38">
        <v>1</v>
      </c>
      <c r="O72" s="38">
        <v>1</v>
      </c>
      <c r="P72" s="38">
        <v>0</v>
      </c>
      <c r="Q72" s="38">
        <v>0</v>
      </c>
      <c r="R72" s="38">
        <v>0</v>
      </c>
      <c r="S72" s="38">
        <v>0</v>
      </c>
      <c r="T72" s="66">
        <f>18955.75+18794.26</f>
        <v>37750.009999999995</v>
      </c>
      <c r="U72" s="66"/>
      <c r="V72" s="66">
        <f>18957.44+18796.01-T72</f>
        <v>3.4400000000023283</v>
      </c>
      <c r="W72" s="48"/>
      <c r="X72" s="48"/>
      <c r="Y72" s="48"/>
      <c r="Z72" s="48">
        <f>((T72*50%+U72*85%+V72)/L72)+W72</f>
        <v>4719.61125</v>
      </c>
      <c r="AA72" s="48">
        <f>IF(O72=1,Z72*30%,0)</f>
        <v>1415.883375</v>
      </c>
      <c r="AB72" s="48">
        <f>IF(K72=1,Z72*20%,0)</f>
        <v>0</v>
      </c>
      <c r="AC72" s="48">
        <f>IF(R72=1,Z72*10%,0)</f>
        <v>0</v>
      </c>
      <c r="AD72" s="48">
        <f>IF(S72=1,Z72*30%,0)</f>
        <v>0</v>
      </c>
      <c r="AE72" s="48">
        <f>IF(I72=1,Z72*30%,0)</f>
        <v>0</v>
      </c>
      <c r="AF72" s="48">
        <f>Z72-AA72-AB72-AC72-AD72-AE72</f>
        <v>3303.727875</v>
      </c>
      <c r="AG72" s="87" t="s">
        <v>57</v>
      </c>
      <c r="AH72" s="67">
        <v>37753.45</v>
      </c>
    </row>
    <row r="73" spans="2:34" ht="18">
      <c r="B73" s="37"/>
      <c r="C73" s="27"/>
      <c r="D73" s="38"/>
      <c r="E73" s="38"/>
      <c r="F73" s="38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58"/>
    </row>
    <row r="74" spans="2:34" ht="18">
      <c r="B74" s="14"/>
      <c r="C74" s="54"/>
      <c r="D74" s="11"/>
      <c r="E74" s="11"/>
      <c r="F74" s="11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59"/>
    </row>
    <row r="75" spans="2:34" ht="18">
      <c r="B75" s="14"/>
      <c r="C75" s="54"/>
      <c r="D75" s="11"/>
      <c r="E75" s="11"/>
      <c r="F75" s="11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59"/>
    </row>
    <row r="76" spans="2:34" ht="18">
      <c r="B76" s="14"/>
      <c r="C76" s="54"/>
      <c r="D76" s="11"/>
      <c r="E76" s="11"/>
      <c r="F76" s="11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59"/>
    </row>
    <row r="77" spans="2:34" ht="18">
      <c r="B77" s="14"/>
      <c r="C77" s="54"/>
      <c r="D77" s="11"/>
      <c r="E77" s="11"/>
      <c r="F77" s="11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59"/>
    </row>
    <row r="78" spans="2:34" ht="18">
      <c r="B78" s="14"/>
      <c r="C78" s="54"/>
      <c r="D78" s="11"/>
      <c r="E78" s="11"/>
      <c r="F78" s="1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59"/>
    </row>
    <row r="79" spans="2:34" ht="18">
      <c r="B79" s="14"/>
      <c r="C79" s="54"/>
      <c r="D79" s="11"/>
      <c r="E79" s="11"/>
      <c r="F79" s="1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59"/>
    </row>
    <row r="80" spans="2:34" ht="18">
      <c r="B80" s="14"/>
      <c r="C80" s="54"/>
      <c r="D80" s="11"/>
      <c r="E80" s="11"/>
      <c r="F80" s="1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59"/>
    </row>
    <row r="81" spans="2:34" ht="18">
      <c r="B81" s="14"/>
      <c r="C81" s="54"/>
      <c r="D81" s="11"/>
      <c r="E81" s="11"/>
      <c r="F81" s="11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59"/>
    </row>
    <row r="82" spans="2:34" ht="18">
      <c r="B82" s="14"/>
      <c r="C82" s="54"/>
      <c r="D82" s="11"/>
      <c r="E82" s="11"/>
      <c r="F82" s="1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59"/>
    </row>
    <row r="83" spans="2:34" ht="18">
      <c r="B83" s="14"/>
      <c r="C83" s="54"/>
      <c r="D83" s="11"/>
      <c r="E83" s="11"/>
      <c r="F83" s="1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59"/>
    </row>
    <row r="84" spans="2:34" ht="18">
      <c r="B84" s="14"/>
      <c r="C84" s="54"/>
      <c r="D84" s="11"/>
      <c r="E84" s="11"/>
      <c r="F84" s="1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59"/>
    </row>
    <row r="85" spans="2:34" ht="18">
      <c r="B85" s="14"/>
      <c r="C85" s="54"/>
      <c r="D85" s="11"/>
      <c r="E85" s="11"/>
      <c r="F85" s="1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59"/>
    </row>
    <row r="86" spans="2:34" ht="18">
      <c r="B86" s="14"/>
      <c r="C86" s="54"/>
      <c r="D86" s="11"/>
      <c r="E86" s="11"/>
      <c r="F86" s="1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59"/>
    </row>
    <row r="87" spans="2:34" ht="18">
      <c r="B87" s="14"/>
      <c r="C87" s="54"/>
      <c r="D87" s="11"/>
      <c r="E87" s="11"/>
      <c r="F87" s="11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59"/>
    </row>
    <row r="88" spans="2:34" ht="18">
      <c r="B88" s="14"/>
      <c r="C88" s="54"/>
      <c r="D88" s="11"/>
      <c r="E88" s="11"/>
      <c r="F88" s="1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59"/>
    </row>
    <row r="89" spans="2:34" ht="18">
      <c r="B89" s="14"/>
      <c r="C89" s="54"/>
      <c r="D89" s="11"/>
      <c r="E89" s="11"/>
      <c r="F89" s="1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59"/>
    </row>
    <row r="90" spans="2:34" ht="18">
      <c r="B90" s="14"/>
      <c r="C90" s="54"/>
      <c r="D90" s="11"/>
      <c r="E90" s="11"/>
      <c r="F90" s="11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59"/>
    </row>
    <row r="91" spans="2:34" ht="18">
      <c r="B91" s="14"/>
      <c r="C91" s="54"/>
      <c r="D91" s="11"/>
      <c r="E91" s="11"/>
      <c r="F91" s="1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59"/>
    </row>
    <row r="92" spans="2:34" ht="18">
      <c r="B92" s="14"/>
      <c r="C92" s="54"/>
      <c r="D92" s="11"/>
      <c r="E92" s="11"/>
      <c r="F92" s="1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59"/>
    </row>
    <row r="93" spans="2:34" ht="18">
      <c r="B93" s="14"/>
      <c r="C93" s="54"/>
      <c r="D93" s="11"/>
      <c r="E93" s="11"/>
      <c r="F93" s="11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59"/>
    </row>
    <row r="94" spans="2:34" ht="18">
      <c r="B94" s="14"/>
      <c r="C94" s="54"/>
      <c r="D94" s="11"/>
      <c r="E94" s="11"/>
      <c r="F94" s="11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59"/>
    </row>
    <row r="95" spans="2:34" ht="18">
      <c r="B95" s="14"/>
      <c r="C95" s="54"/>
      <c r="D95" s="11"/>
      <c r="E95" s="11"/>
      <c r="F95" s="11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59"/>
    </row>
    <row r="96" spans="2:34" ht="18">
      <c r="B96" s="14"/>
      <c r="C96" s="54"/>
      <c r="D96" s="11"/>
      <c r="E96" s="11"/>
      <c r="F96" s="1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59"/>
    </row>
    <row r="97" spans="2:34" ht="18">
      <c r="B97" s="14"/>
      <c r="C97" s="54"/>
      <c r="D97" s="11"/>
      <c r="E97" s="11"/>
      <c r="F97" s="11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59"/>
    </row>
    <row r="98" spans="2:34" ht="18">
      <c r="B98" s="14"/>
      <c r="C98" s="54"/>
      <c r="D98" s="11"/>
      <c r="E98" s="11"/>
      <c r="F98" s="11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59"/>
    </row>
    <row r="99" spans="2:34" ht="18">
      <c r="B99" s="14"/>
      <c r="C99" s="54"/>
      <c r="D99" s="11"/>
      <c r="E99" s="11"/>
      <c r="F99" s="1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59"/>
    </row>
    <row r="100" spans="2:34" ht="18">
      <c r="B100" s="14"/>
      <c r="C100" s="54"/>
      <c r="D100" s="11"/>
      <c r="E100" s="11"/>
      <c r="F100" s="11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59"/>
    </row>
    <row r="101" spans="2:34" ht="18">
      <c r="B101" s="14"/>
      <c r="C101" s="54"/>
      <c r="D101" s="11"/>
      <c r="E101" s="11"/>
      <c r="F101" s="11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59"/>
    </row>
    <row r="102" spans="2:34" ht="18">
      <c r="B102" s="14"/>
      <c r="C102" s="54"/>
      <c r="D102" s="11"/>
      <c r="E102" s="11"/>
      <c r="F102" s="11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59"/>
    </row>
    <row r="103" spans="2:34" ht="18">
      <c r="B103" s="14"/>
      <c r="C103" s="54"/>
      <c r="D103" s="11"/>
      <c r="E103" s="11"/>
      <c r="F103" s="11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59"/>
    </row>
    <row r="104" spans="2:34" ht="18">
      <c r="B104" s="14"/>
      <c r="C104" s="54"/>
      <c r="D104" s="11"/>
      <c r="E104" s="11"/>
      <c r="F104" s="1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59"/>
    </row>
    <row r="105" spans="2:34" ht="18">
      <c r="B105" s="14"/>
      <c r="C105" s="54"/>
      <c r="D105" s="11"/>
      <c r="E105" s="11"/>
      <c r="F105" s="11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59"/>
    </row>
    <row r="106" spans="2:34" ht="18">
      <c r="B106" s="14"/>
      <c r="C106" s="54"/>
      <c r="D106" s="11"/>
      <c r="E106" s="11"/>
      <c r="F106" s="11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59"/>
    </row>
    <row r="107" spans="2:34" ht="18">
      <c r="B107" s="14"/>
      <c r="C107" s="54"/>
      <c r="D107" s="11"/>
      <c r="E107" s="11"/>
      <c r="F107" s="11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59"/>
    </row>
    <row r="108" spans="2:34" ht="18">
      <c r="B108" s="14"/>
      <c r="C108" s="54"/>
      <c r="D108" s="11"/>
      <c r="E108" s="11"/>
      <c r="F108" s="11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59"/>
    </row>
    <row r="109" spans="2:34" ht="18">
      <c r="B109" s="14"/>
      <c r="C109" s="54"/>
      <c r="D109" s="11"/>
      <c r="E109" s="11"/>
      <c r="F109" s="11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59"/>
    </row>
    <row r="110" spans="2:34" ht="18">
      <c r="B110" s="14"/>
      <c r="C110" s="54"/>
      <c r="D110" s="11"/>
      <c r="E110" s="11"/>
      <c r="F110" s="11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59"/>
    </row>
    <row r="111" spans="2:34" ht="18">
      <c r="B111" s="14"/>
      <c r="C111" s="54"/>
      <c r="D111" s="11"/>
      <c r="E111" s="11"/>
      <c r="F111" s="1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59"/>
    </row>
    <row r="112" spans="2:34" ht="18">
      <c r="B112" s="14"/>
      <c r="C112" s="54"/>
      <c r="D112" s="11"/>
      <c r="E112" s="11"/>
      <c r="F112" s="11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59"/>
    </row>
    <row r="113" spans="2:34" ht="18">
      <c r="B113" s="14"/>
      <c r="C113" s="11"/>
      <c r="D113" s="11"/>
      <c r="E113" s="11"/>
      <c r="F113" s="11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59"/>
    </row>
    <row r="114" spans="2:34" ht="18">
      <c r="B114" s="14"/>
      <c r="C114" s="11"/>
      <c r="D114" s="11"/>
      <c r="E114" s="11"/>
      <c r="F114" s="11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59"/>
    </row>
    <row r="115" spans="2:34" ht="18">
      <c r="B115" s="14"/>
      <c r="C115" s="11"/>
      <c r="D115" s="11"/>
      <c r="E115" s="11"/>
      <c r="F115" s="11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59"/>
    </row>
    <row r="116" spans="2:34" ht="18">
      <c r="B116" s="14"/>
      <c r="C116" s="11"/>
      <c r="D116" s="11"/>
      <c r="E116" s="11"/>
      <c r="F116" s="11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59"/>
    </row>
    <row r="117" spans="2:34" ht="18">
      <c r="B117" s="14"/>
      <c r="C117" s="11"/>
      <c r="D117" s="11"/>
      <c r="E117" s="11"/>
      <c r="F117" s="11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59"/>
    </row>
    <row r="118" spans="2:34" ht="18">
      <c r="B118" s="14"/>
      <c r="C118" s="11"/>
      <c r="D118" s="11"/>
      <c r="E118" s="11"/>
      <c r="F118" s="11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59"/>
    </row>
    <row r="119" spans="2:34" ht="18">
      <c r="B119" s="14"/>
      <c r="C119" s="11"/>
      <c r="D119" s="11"/>
      <c r="E119" s="11"/>
      <c r="F119" s="11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59"/>
    </row>
    <row r="120" spans="2:34" ht="18">
      <c r="B120" s="14"/>
      <c r="C120" s="11"/>
      <c r="D120" s="11"/>
      <c r="E120" s="11"/>
      <c r="F120" s="11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59"/>
    </row>
    <row r="121" spans="2:34" ht="18">
      <c r="B121" s="14"/>
      <c r="C121" s="11"/>
      <c r="D121" s="11"/>
      <c r="E121" s="11"/>
      <c r="F121" s="11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59"/>
    </row>
    <row r="122" spans="7:34" ht="18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59"/>
    </row>
    <row r="123" spans="7:34" ht="18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59"/>
    </row>
    <row r="124" spans="7:34" ht="18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59"/>
    </row>
  </sheetData>
  <sheetProtection/>
  <mergeCells count="4">
    <mergeCell ref="B70:AH70"/>
    <mergeCell ref="B65:AH65"/>
    <mergeCell ref="B62:AH62"/>
    <mergeCell ref="B45:AH45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9" scale="75" r:id="rId1"/>
  <headerFooter alignWithMargins="0">
    <oddHeader>&amp;LΤΜΗΜΑ ΣΠΟΥΔΑΣΤΙΚΗΣ ΜΕΡΙΜΝΑΣ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userx</cp:lastModifiedBy>
  <cp:lastPrinted>2013-07-23T08:25:36Z</cp:lastPrinted>
  <dcterms:created xsi:type="dcterms:W3CDTF">2007-10-03T16:28:55Z</dcterms:created>
  <dcterms:modified xsi:type="dcterms:W3CDTF">2018-10-31T12:29:06Z</dcterms:modified>
  <cp:category/>
  <cp:version/>
  <cp:contentType/>
  <cp:contentStatus/>
</cp:coreProperties>
</file>